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drawings/drawing15.xml" ContentType="application/vnd.openxmlformats-officedocument.drawing+xml"/>
  <Override PartName="/xl/comments9.xml" ContentType="application/vnd.openxmlformats-officedocument.spreadsheetml.comments+xml"/>
  <Override PartName="/xl/drawings/drawing16.xml" ContentType="application/vnd.openxmlformats-officedocument.drawing+xml"/>
  <Override PartName="/xl/comments10.xml" ContentType="application/vnd.openxmlformats-officedocument.spreadsheetml.comments+xml"/>
  <Override PartName="/xl/drawings/drawing17.xml" ContentType="application/vnd.openxmlformats-officedocument.drawing+xml"/>
  <Override PartName="/xl/comments11.xml" ContentType="application/vnd.openxmlformats-officedocument.spreadsheetml.comments+xml"/>
  <Override PartName="/xl/drawings/drawing18.xml" ContentType="application/vnd.openxmlformats-officedocument.drawing+xml"/>
  <Override PartName="/xl/comments12.xml" ContentType="application/vnd.openxmlformats-officedocument.spreadsheetml.comments+xml"/>
  <Override PartName="/xl/drawings/drawing19.xml" ContentType="application/vnd.openxmlformats-officedocument.drawing+xml"/>
  <Override PartName="/xl/comments13.xml" ContentType="application/vnd.openxmlformats-officedocument.spreadsheetml.comments+xml"/>
  <Override PartName="/xl/drawings/drawing20.xml" ContentType="application/vnd.openxmlformats-officedocument.drawing+xml"/>
  <Override PartName="/xl/comments14.xml" ContentType="application/vnd.openxmlformats-officedocument.spreadsheetml.comments+xml"/>
  <Override PartName="/xl/drawings/drawing21.xml" ContentType="application/vnd.openxmlformats-officedocument.drawing+xml"/>
  <Override PartName="/xl/comments15.xml" ContentType="application/vnd.openxmlformats-officedocument.spreadsheetml.comments+xml"/>
  <Override PartName="/xl/drawings/drawing22.xml" ContentType="application/vnd.openxmlformats-officedocument.drawing+xml"/>
  <Override PartName="/xl/comments16.xml" ContentType="application/vnd.openxmlformats-officedocument.spreadsheetml.comments+xml"/>
  <Override PartName="/xl/drawings/drawing23.xml" ContentType="application/vnd.openxmlformats-officedocument.drawing+xml"/>
  <Override PartName="/xl/comments17.xml" ContentType="application/vnd.openxmlformats-officedocument.spreadsheetml.comments+xml"/>
  <Override PartName="/xl/drawings/drawing24.xml" ContentType="application/vnd.openxmlformats-officedocument.drawing+xml"/>
  <Override PartName="/xl/comments18.xml" ContentType="application/vnd.openxmlformats-officedocument.spreadsheetml.comments+xml"/>
  <Override PartName="/xl/drawings/drawing25.xml" ContentType="application/vnd.openxmlformats-officedocument.drawing+xml"/>
  <Override PartName="/xl/comments19.xml" ContentType="application/vnd.openxmlformats-officedocument.spreadsheetml.comments+xml"/>
  <Override PartName="/xl/drawings/drawing26.xml" ContentType="application/vnd.openxmlformats-officedocument.drawing+xml"/>
  <Override PartName="/xl/comments20.xml" ContentType="application/vnd.openxmlformats-officedocument.spreadsheetml.comments+xml"/>
  <Override PartName="/xl/drawings/drawing27.xml" ContentType="application/vnd.openxmlformats-officedocument.drawing+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updateLinks="never" codeName="ThisWorkbook" defaultThemeVersion="124226"/>
  <mc:AlternateContent xmlns:mc="http://schemas.openxmlformats.org/markup-compatibility/2006">
    <mc:Choice Requires="x15">
      <x15ac:absPath xmlns:x15ac="http://schemas.microsoft.com/office/spreadsheetml/2010/11/ac" url="Z:\بازرگانی و فروش\لیست قیمت\لیست قیمت ارزی سایت\14010828\"/>
    </mc:Choice>
  </mc:AlternateContent>
  <xr:revisionPtr revIDLastSave="0" documentId="13_ncr:1_{55D81D8B-878D-4928-89D3-12D044D80A4A}" xr6:coauthVersionLast="47" xr6:coauthVersionMax="47" xr10:uidLastSave="{00000000-0000-0000-0000-000000000000}"/>
  <bookViews>
    <workbookView xWindow="-60" yWindow="-60" windowWidth="28920" windowHeight="15720" tabRatio="738" firstSheet="6" activeTab="6" xr2:uid="{00000000-000D-0000-FFFF-FFFF00000000}"/>
  </bookViews>
  <sheets>
    <sheet name="10643-new (2)" sheetId="105" state="hidden" r:id="rId1"/>
    <sheet name="10642-new" sheetId="104" state="hidden" r:id="rId2"/>
    <sheet name="10641-new (4)" sheetId="103" state="hidden" r:id="rId3"/>
    <sheet name="10639-new (3)" sheetId="102" state="hidden" r:id="rId4"/>
    <sheet name="10638-new (2)" sheetId="101" state="hidden" r:id="rId5"/>
    <sheet name="10640-new" sheetId="100" state="hidden" r:id="rId6"/>
    <sheet name="درخواست پروفرم" sheetId="342" r:id="rId7"/>
    <sheet name="10665" sheetId="64" state="hidden" r:id="rId8"/>
    <sheet name="10664" sheetId="63" state="hidden" r:id="rId9"/>
    <sheet name="10663" sheetId="62" state="hidden" r:id="rId10"/>
    <sheet name="10662" sheetId="61" state="hidden" r:id="rId11"/>
    <sheet name="10657" sheetId="54" state="hidden" r:id="rId12"/>
    <sheet name="10653" sheetId="50" state="hidden" r:id="rId13"/>
    <sheet name="10652" sheetId="49" state="hidden" r:id="rId14"/>
    <sheet name="10651" sheetId="45" state="hidden" r:id="rId15"/>
    <sheet name="10650" sheetId="44" state="hidden" r:id="rId16"/>
    <sheet name="10649" sheetId="43" state="hidden" r:id="rId17"/>
    <sheet name="10648" sheetId="42" state="hidden" r:id="rId18"/>
    <sheet name="10647" sheetId="48" state="hidden" r:id="rId19"/>
    <sheet name="10646" sheetId="47" state="hidden" r:id="rId20"/>
    <sheet name="10645" sheetId="46" state="hidden" r:id="rId21"/>
    <sheet name="10644" sheetId="41" state="hidden" r:id="rId22"/>
    <sheet name="10643" sheetId="35" state="hidden" r:id="rId23"/>
    <sheet name="10642" sheetId="36" state="hidden" r:id="rId24"/>
    <sheet name="10641" sheetId="37" state="hidden" r:id="rId25"/>
    <sheet name="10640" sheetId="38" state="hidden" r:id="rId26"/>
    <sheet name="10639" sheetId="39" state="hidden" r:id="rId27"/>
    <sheet name="10638" sheetId="40" state="hidden" r:id="rId28"/>
  </sheets>
  <externalReferences>
    <externalReference r:id="rId29"/>
  </externalReferences>
  <definedNames>
    <definedName name="_xlnm.Print_Area" localSheetId="27">'10638'!$A$1:$M$52</definedName>
    <definedName name="_xlnm.Print_Area" localSheetId="4">'10638-new (2)'!$A$1:$O$58</definedName>
    <definedName name="_xlnm.Print_Area" localSheetId="26">'10639'!$A$1:$M$52</definedName>
    <definedName name="_xlnm.Print_Area" localSheetId="3">'10639-new (3)'!$A$1:$O$58</definedName>
    <definedName name="_xlnm.Print_Area" localSheetId="25">'10640'!$A$1:$M$52</definedName>
    <definedName name="_xlnm.Print_Area" localSheetId="5">'10640-new'!$A$1:$O$58</definedName>
    <definedName name="_xlnm.Print_Area" localSheetId="24">'10641'!$A$1:$M$52</definedName>
    <definedName name="_xlnm.Print_Area" localSheetId="2">'10641-new (4)'!$A$1:$O$58</definedName>
    <definedName name="_xlnm.Print_Area" localSheetId="23">'10642'!$A$1:$M$52</definedName>
    <definedName name="_xlnm.Print_Area" localSheetId="1">'10642-new'!$A$1:$O$58</definedName>
    <definedName name="_xlnm.Print_Area" localSheetId="22">'10643'!$A$1:$M$52</definedName>
    <definedName name="_xlnm.Print_Area" localSheetId="0">'10643-new (2)'!$A$1:$O$58</definedName>
    <definedName name="_xlnm.Print_Area" localSheetId="21">'10644'!$A$1:$M$52</definedName>
    <definedName name="_xlnm.Print_Area" localSheetId="20">'10645'!$A$1:$M$52</definedName>
    <definedName name="_xlnm.Print_Area" localSheetId="19">'10646'!$A$1:$M$52</definedName>
    <definedName name="_xlnm.Print_Area" localSheetId="18">'10647'!$A$1:$M$52</definedName>
    <definedName name="_xlnm.Print_Area" localSheetId="17">'10648'!$A$1:$M$52</definedName>
    <definedName name="_xlnm.Print_Area" localSheetId="16">'10649'!$A$1:$M$52</definedName>
    <definedName name="_xlnm.Print_Area" localSheetId="15">'10650'!$A$1:$M$52</definedName>
    <definedName name="_xlnm.Print_Area" localSheetId="14">'10651'!$A$1:$M$52</definedName>
    <definedName name="_xlnm.Print_Area" localSheetId="13">'10652'!$A$1:$M$52</definedName>
    <definedName name="_xlnm.Print_Area" localSheetId="12">'10653'!$A$1:$M$52</definedName>
    <definedName name="_xlnm.Print_Area" localSheetId="11">'10657'!$A$1:$M$52</definedName>
    <definedName name="_xlnm.Print_Area" localSheetId="10">'10662'!$A$1:$O$58</definedName>
    <definedName name="_xlnm.Print_Area" localSheetId="9">'10663'!$A$1:$O$58</definedName>
    <definedName name="_xlnm.Print_Area" localSheetId="8">'10664'!$A$1:$O$58</definedName>
    <definedName name="_xlnm.Print_Area" localSheetId="7">'10665'!$A$1:$O$58</definedName>
    <definedName name="_xlnm.Print_Area" localSheetId="6">'درخواست پروفرم'!$H$2:$H$30</definedName>
    <definedName name="valuevx">42.314159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1" i="342" l="1"/>
  <c r="A12" i="342"/>
  <c r="A13" i="342"/>
  <c r="A14" i="342"/>
  <c r="A15" i="342"/>
  <c r="A16" i="342"/>
  <c r="A17" i="342"/>
  <c r="A18" i="342"/>
  <c r="A19" i="342"/>
  <c r="A20" i="342"/>
  <c r="A21" i="342"/>
  <c r="A22" i="342"/>
  <c r="A23" i="342"/>
  <c r="A24" i="342"/>
  <c r="A25" i="342"/>
  <c r="A26" i="342"/>
  <c r="A27" i="342"/>
  <c r="A28" i="342"/>
  <c r="A29" i="342"/>
  <c r="A10" i="342"/>
  <c r="C30" i="342" l="1"/>
  <c r="A9" i="342" l="1"/>
  <c r="A7" i="342" l="1"/>
  <c r="A8" i="342"/>
  <c r="A30" i="342" l="1"/>
  <c r="B17" i="40" l="1"/>
  <c r="E17" i="40"/>
  <c r="G17" i="40"/>
  <c r="I17" i="40"/>
  <c r="K17" i="40"/>
  <c r="R17" i="40"/>
  <c r="S17" i="40" s="1"/>
  <c r="T17" i="40"/>
  <c r="B18" i="40"/>
  <c r="E18" i="40"/>
  <c r="G18" i="40"/>
  <c r="I18" i="40"/>
  <c r="K18" i="40"/>
  <c r="R18" i="40"/>
  <c r="S18" i="40" s="1"/>
  <c r="T18" i="40"/>
  <c r="B19" i="40"/>
  <c r="E19" i="40"/>
  <c r="G19" i="40"/>
  <c r="I19" i="40"/>
  <c r="K19" i="40"/>
  <c r="R19" i="40"/>
  <c r="S19" i="40" s="1"/>
  <c r="B20" i="40"/>
  <c r="E20" i="40"/>
  <c r="G20" i="40"/>
  <c r="I20" i="40"/>
  <c r="K20" i="40"/>
  <c r="R20" i="40"/>
  <c r="S20" i="40"/>
  <c r="B21" i="40"/>
  <c r="E21" i="40"/>
  <c r="G21" i="40"/>
  <c r="I21" i="40"/>
  <c r="K21" i="40"/>
  <c r="R21" i="40"/>
  <c r="S21" i="40" s="1"/>
  <c r="B22" i="40"/>
  <c r="E22" i="40"/>
  <c r="G22" i="40"/>
  <c r="I22" i="40"/>
  <c r="K22" i="40"/>
  <c r="R22" i="40"/>
  <c r="S22" i="40" s="1"/>
  <c r="B23" i="40"/>
  <c r="E23" i="40"/>
  <c r="G23" i="40"/>
  <c r="I23" i="40"/>
  <c r="K23" i="40"/>
  <c r="R23" i="40"/>
  <c r="S23" i="40" s="1"/>
  <c r="B24" i="40"/>
  <c r="E24" i="40"/>
  <c r="G24" i="40"/>
  <c r="I24" i="40"/>
  <c r="K24" i="40"/>
  <c r="R24" i="40"/>
  <c r="S24" i="40" s="1"/>
  <c r="B25" i="40"/>
  <c r="E25" i="40"/>
  <c r="G25" i="40"/>
  <c r="I25" i="40"/>
  <c r="K25" i="40"/>
  <c r="R25" i="40"/>
  <c r="S25" i="40" s="1"/>
  <c r="B26" i="40"/>
  <c r="E26" i="40"/>
  <c r="G26" i="40"/>
  <c r="I26" i="40"/>
  <c r="K26" i="40"/>
  <c r="R26" i="40"/>
  <c r="S26" i="40" s="1"/>
  <c r="B27" i="40"/>
  <c r="E27" i="40"/>
  <c r="G27" i="40"/>
  <c r="I27" i="40"/>
  <c r="K27" i="40"/>
  <c r="R27" i="40"/>
  <c r="S27" i="40" s="1"/>
  <c r="B28" i="40"/>
  <c r="E28" i="40"/>
  <c r="G28" i="40"/>
  <c r="I28" i="40"/>
  <c r="K28" i="40"/>
  <c r="J29" i="40"/>
  <c r="M14" i="40" s="1"/>
  <c r="M31" i="40"/>
  <c r="B17" i="39"/>
  <c r="E17" i="39"/>
  <c r="G17" i="39"/>
  <c r="I17" i="39"/>
  <c r="K17" i="39"/>
  <c r="R17" i="39"/>
  <c r="S17" i="39" s="1"/>
  <c r="U17" i="39"/>
  <c r="B18" i="39"/>
  <c r="E18" i="39"/>
  <c r="G18" i="39"/>
  <c r="I18" i="39"/>
  <c r="K18" i="39"/>
  <c r="R18" i="39"/>
  <c r="S18" i="39" s="1"/>
  <c r="U18" i="39"/>
  <c r="B19" i="39"/>
  <c r="E19" i="39"/>
  <c r="G19" i="39"/>
  <c r="I19" i="39"/>
  <c r="K19" i="39"/>
  <c r="R19" i="39"/>
  <c r="S19" i="39" s="1"/>
  <c r="U19" i="39"/>
  <c r="B20" i="39"/>
  <c r="E20" i="39"/>
  <c r="G20" i="39"/>
  <c r="I20" i="39"/>
  <c r="K20" i="39"/>
  <c r="R20" i="39"/>
  <c r="S20" i="39" s="1"/>
  <c r="U20" i="39"/>
  <c r="B21" i="39"/>
  <c r="E21" i="39"/>
  <c r="G21" i="39"/>
  <c r="I21" i="39"/>
  <c r="R21" i="39"/>
  <c r="S21" i="39" s="1"/>
  <c r="B22" i="39"/>
  <c r="E22" i="39"/>
  <c r="G22" i="39"/>
  <c r="I22" i="39"/>
  <c r="R22" i="39"/>
  <c r="S22" i="39" s="1"/>
  <c r="B23" i="39"/>
  <c r="E23" i="39"/>
  <c r="G23" i="39"/>
  <c r="I23" i="39"/>
  <c r="R23" i="39"/>
  <c r="S23" i="39" s="1"/>
  <c r="B24" i="39"/>
  <c r="E24" i="39"/>
  <c r="G24" i="39"/>
  <c r="I24" i="39"/>
  <c r="R24" i="39"/>
  <c r="S24" i="39" s="1"/>
  <c r="B25" i="39"/>
  <c r="E25" i="39"/>
  <c r="G25" i="39"/>
  <c r="I25" i="39"/>
  <c r="R25" i="39"/>
  <c r="S25" i="39" s="1"/>
  <c r="B26" i="39"/>
  <c r="E26" i="39"/>
  <c r="G26" i="39"/>
  <c r="I26" i="39"/>
  <c r="R26" i="39"/>
  <c r="S26" i="39" s="1"/>
  <c r="B27" i="39"/>
  <c r="E27" i="39"/>
  <c r="G27" i="39"/>
  <c r="I27" i="39"/>
  <c r="R27" i="39"/>
  <c r="S27" i="39" s="1"/>
  <c r="B28" i="39"/>
  <c r="E28" i="39"/>
  <c r="G28" i="39"/>
  <c r="I28" i="39"/>
  <c r="J29" i="39"/>
  <c r="M14" i="39" s="1"/>
  <c r="M31" i="39"/>
  <c r="B17" i="38"/>
  <c r="E17" i="38"/>
  <c r="G17" i="38"/>
  <c r="I17" i="38"/>
  <c r="K17" i="38"/>
  <c r="R17" i="38"/>
  <c r="S17" i="38" s="1"/>
  <c r="T17" i="38"/>
  <c r="B18" i="38"/>
  <c r="E18" i="38"/>
  <c r="G18" i="38"/>
  <c r="I18" i="38"/>
  <c r="K18" i="38"/>
  <c r="R18" i="38"/>
  <c r="S18" i="38" s="1"/>
  <c r="T18" i="38"/>
  <c r="B19" i="38"/>
  <c r="E19" i="38"/>
  <c r="G19" i="38"/>
  <c r="I19" i="38"/>
  <c r="K19" i="38"/>
  <c r="R19" i="38"/>
  <c r="S19" i="38" s="1"/>
  <c r="T19" i="38"/>
  <c r="B20" i="38"/>
  <c r="E20" i="38"/>
  <c r="G20" i="38"/>
  <c r="I20" i="38"/>
  <c r="K20" i="38"/>
  <c r="R20" i="38"/>
  <c r="S20" i="38" s="1"/>
  <c r="T20" i="38"/>
  <c r="B21" i="38"/>
  <c r="E21" i="38"/>
  <c r="G21" i="38"/>
  <c r="I21" i="38"/>
  <c r="K21" i="38"/>
  <c r="R21" i="38"/>
  <c r="S21" i="38" s="1"/>
  <c r="T21" i="38"/>
  <c r="B22" i="38"/>
  <c r="E22" i="38"/>
  <c r="G22" i="38"/>
  <c r="I22" i="38"/>
  <c r="K22" i="38"/>
  <c r="R22" i="38"/>
  <c r="S22" i="38" s="1"/>
  <c r="T22" i="38"/>
  <c r="B23" i="38"/>
  <c r="E23" i="38"/>
  <c r="G23" i="38"/>
  <c r="I23" i="38"/>
  <c r="K23" i="38"/>
  <c r="R23" i="38"/>
  <c r="S23" i="38" s="1"/>
  <c r="B24" i="38"/>
  <c r="E24" i="38"/>
  <c r="G24" i="38"/>
  <c r="I24" i="38"/>
  <c r="K24" i="38"/>
  <c r="R24" i="38"/>
  <c r="S24" i="38" s="1"/>
  <c r="B25" i="38"/>
  <c r="E25" i="38"/>
  <c r="G25" i="38"/>
  <c r="I25" i="38"/>
  <c r="K25" i="38"/>
  <c r="R25" i="38"/>
  <c r="S25" i="38" s="1"/>
  <c r="B26" i="38"/>
  <c r="E26" i="38"/>
  <c r="G26" i="38"/>
  <c r="I26" i="38"/>
  <c r="K26" i="38"/>
  <c r="R26" i="38"/>
  <c r="S26" i="38" s="1"/>
  <c r="B27" i="38"/>
  <c r="E27" i="38"/>
  <c r="G27" i="38"/>
  <c r="I27" i="38"/>
  <c r="K27" i="38"/>
  <c r="R27" i="38"/>
  <c r="S27" i="38" s="1"/>
  <c r="B28" i="38"/>
  <c r="E28" i="38"/>
  <c r="G28" i="38"/>
  <c r="I28" i="38"/>
  <c r="K28" i="38"/>
  <c r="J29" i="38"/>
  <c r="M14" i="38" s="1"/>
  <c r="M31" i="38"/>
  <c r="B17" i="37"/>
  <c r="E17" i="37"/>
  <c r="G17" i="37"/>
  <c r="I17" i="37"/>
  <c r="K17" i="37"/>
  <c r="R17" i="37"/>
  <c r="S17" i="37" s="1"/>
  <c r="T17" i="37"/>
  <c r="B18" i="37"/>
  <c r="E18" i="37"/>
  <c r="G18" i="37"/>
  <c r="I18" i="37"/>
  <c r="K18" i="37"/>
  <c r="R18" i="37"/>
  <c r="S18" i="37" s="1"/>
  <c r="T18" i="37"/>
  <c r="B19" i="37"/>
  <c r="E19" i="37"/>
  <c r="G19" i="37"/>
  <c r="I19" i="37"/>
  <c r="M19" i="37"/>
  <c r="R19" i="37"/>
  <c r="S19" i="37" s="1"/>
  <c r="T19" i="37"/>
  <c r="B20" i="37"/>
  <c r="E20" i="37"/>
  <c r="G20" i="37"/>
  <c r="I20" i="37"/>
  <c r="M20" i="37"/>
  <c r="R20" i="37"/>
  <c r="S20" i="37"/>
  <c r="T20" i="37"/>
  <c r="B21" i="37"/>
  <c r="E21" i="37"/>
  <c r="G21" i="37"/>
  <c r="I21" i="37"/>
  <c r="M21" i="37"/>
  <c r="R21" i="37"/>
  <c r="S21" i="37" s="1"/>
  <c r="T21" i="37"/>
  <c r="B22" i="37"/>
  <c r="E22" i="37"/>
  <c r="G22" i="37"/>
  <c r="I22" i="37"/>
  <c r="M22" i="37"/>
  <c r="R22" i="37"/>
  <c r="S22" i="37" s="1"/>
  <c r="T22" i="37"/>
  <c r="B23" i="37"/>
  <c r="R23" i="37"/>
  <c r="S23" i="37" s="1"/>
  <c r="B24" i="37"/>
  <c r="R24" i="37"/>
  <c r="S24" i="37" s="1"/>
  <c r="B25" i="37"/>
  <c r="R25" i="37"/>
  <c r="S25" i="37"/>
  <c r="B26" i="37"/>
  <c r="R26" i="37"/>
  <c r="S26" i="37" s="1"/>
  <c r="B27" i="37"/>
  <c r="R27" i="37"/>
  <c r="S27" i="37" s="1"/>
  <c r="B28" i="37"/>
  <c r="J29" i="37"/>
  <c r="M14" i="37" s="1"/>
  <c r="M31" i="37"/>
  <c r="B17" i="36"/>
  <c r="E17" i="36"/>
  <c r="G17" i="36"/>
  <c r="I17" i="36"/>
  <c r="K17" i="36"/>
  <c r="R17" i="36"/>
  <c r="S17" i="36" s="1"/>
  <c r="T17" i="36"/>
  <c r="B18" i="36"/>
  <c r="E18" i="36"/>
  <c r="G18" i="36"/>
  <c r="I18" i="36"/>
  <c r="K18" i="36"/>
  <c r="R18" i="36"/>
  <c r="S18" i="36" s="1"/>
  <c r="T18" i="36"/>
  <c r="B19" i="36"/>
  <c r="E19" i="36"/>
  <c r="G19" i="36"/>
  <c r="I19" i="36"/>
  <c r="K19" i="36"/>
  <c r="R19" i="36"/>
  <c r="S19" i="36" s="1"/>
  <c r="T19" i="36"/>
  <c r="B20" i="36"/>
  <c r="E20" i="36"/>
  <c r="G20" i="36"/>
  <c r="I20" i="36"/>
  <c r="K20" i="36"/>
  <c r="R20" i="36"/>
  <c r="S20" i="36" s="1"/>
  <c r="T20" i="36"/>
  <c r="B21" i="36"/>
  <c r="E21" i="36"/>
  <c r="G21" i="36"/>
  <c r="I21" i="36"/>
  <c r="K21" i="36"/>
  <c r="R21" i="36"/>
  <c r="S21" i="36" s="1"/>
  <c r="T21" i="36"/>
  <c r="B22" i="36"/>
  <c r="E22" i="36"/>
  <c r="G22" i="36"/>
  <c r="I22" i="36"/>
  <c r="K22" i="36"/>
  <c r="R22" i="36"/>
  <c r="S22" i="36" s="1"/>
  <c r="T22" i="36"/>
  <c r="B23" i="36"/>
  <c r="E23" i="36"/>
  <c r="G23" i="36"/>
  <c r="I23" i="36"/>
  <c r="K23" i="36"/>
  <c r="R23" i="36"/>
  <c r="S23" i="36" s="1"/>
  <c r="T23" i="36"/>
  <c r="B24" i="36"/>
  <c r="E24" i="36"/>
  <c r="G24" i="36"/>
  <c r="I24" i="36"/>
  <c r="K24" i="36"/>
  <c r="R24" i="36"/>
  <c r="S24" i="36" s="1"/>
  <c r="B25" i="36"/>
  <c r="E25" i="36"/>
  <c r="G25" i="36"/>
  <c r="I25" i="36"/>
  <c r="K25" i="36"/>
  <c r="R25" i="36"/>
  <c r="S25" i="36" s="1"/>
  <c r="B26" i="36"/>
  <c r="E26" i="36"/>
  <c r="G26" i="36"/>
  <c r="I26" i="36"/>
  <c r="K26" i="36"/>
  <c r="R26" i="36"/>
  <c r="S26" i="36" s="1"/>
  <c r="B27" i="36"/>
  <c r="E27" i="36"/>
  <c r="G27" i="36"/>
  <c r="I27" i="36"/>
  <c r="K27" i="36"/>
  <c r="R27" i="36"/>
  <c r="S27" i="36" s="1"/>
  <c r="B28" i="36"/>
  <c r="E28" i="36"/>
  <c r="G28" i="36"/>
  <c r="I28" i="36"/>
  <c r="K28" i="36"/>
  <c r="J29" i="36"/>
  <c r="M31" i="36"/>
  <c r="B17" i="35"/>
  <c r="E17" i="35"/>
  <c r="G17" i="35"/>
  <c r="I17" i="35"/>
  <c r="K17" i="35"/>
  <c r="R17" i="35"/>
  <c r="S17" i="35" s="1"/>
  <c r="T17" i="35"/>
  <c r="B18" i="35"/>
  <c r="E18" i="35"/>
  <c r="G18" i="35"/>
  <c r="I18" i="35"/>
  <c r="K18" i="35"/>
  <c r="R18" i="35"/>
  <c r="S18" i="35" s="1"/>
  <c r="T18" i="35"/>
  <c r="B19" i="35"/>
  <c r="E19" i="35"/>
  <c r="G19" i="35"/>
  <c r="I19" i="35"/>
  <c r="K19" i="35"/>
  <c r="R19" i="35"/>
  <c r="S19" i="35" s="1"/>
  <c r="T19" i="35"/>
  <c r="B20" i="35"/>
  <c r="E20" i="35"/>
  <c r="G20" i="35"/>
  <c r="I20" i="35"/>
  <c r="K20" i="35"/>
  <c r="R20" i="35"/>
  <c r="S20" i="35" s="1"/>
  <c r="T20" i="35"/>
  <c r="B21" i="35"/>
  <c r="E21" i="35"/>
  <c r="G21" i="35"/>
  <c r="I21" i="35"/>
  <c r="K21" i="35"/>
  <c r="R21" i="35"/>
  <c r="S21" i="35" s="1"/>
  <c r="T21" i="35"/>
  <c r="B22" i="35"/>
  <c r="E22" i="35"/>
  <c r="G22" i="35"/>
  <c r="I22" i="35"/>
  <c r="K22" i="35"/>
  <c r="R22" i="35"/>
  <c r="S22" i="35" s="1"/>
  <c r="T22" i="35"/>
  <c r="B23" i="35"/>
  <c r="E23" i="35"/>
  <c r="G23" i="35"/>
  <c r="I23" i="35"/>
  <c r="K23" i="35"/>
  <c r="R23" i="35"/>
  <c r="S23" i="35" s="1"/>
  <c r="T23" i="35"/>
  <c r="B24" i="35"/>
  <c r="E24" i="35"/>
  <c r="G24" i="35"/>
  <c r="I24" i="35"/>
  <c r="K24" i="35"/>
  <c r="R24" i="35"/>
  <c r="S24" i="35" s="1"/>
  <c r="T24" i="35"/>
  <c r="B25" i="35"/>
  <c r="E25" i="35"/>
  <c r="G25" i="35"/>
  <c r="I25" i="35"/>
  <c r="K25" i="35"/>
  <c r="R25" i="35"/>
  <c r="S25" i="35" s="1"/>
  <c r="T25" i="35"/>
  <c r="B26" i="35"/>
  <c r="E26" i="35"/>
  <c r="G26" i="35"/>
  <c r="I26" i="35"/>
  <c r="K26" i="35"/>
  <c r="R26" i="35"/>
  <c r="S26" i="35" s="1"/>
  <c r="B27" i="35"/>
  <c r="E27" i="35"/>
  <c r="G27" i="35"/>
  <c r="I27" i="35"/>
  <c r="K27" i="35"/>
  <c r="R27" i="35"/>
  <c r="S27" i="35" s="1"/>
  <c r="B28" i="35"/>
  <c r="E28" i="35"/>
  <c r="G28" i="35"/>
  <c r="I28" i="35"/>
  <c r="K28" i="35"/>
  <c r="J29" i="35"/>
  <c r="M14" i="35" s="1"/>
  <c r="M31" i="35"/>
  <c r="A2" i="41"/>
  <c r="B17" i="41"/>
  <c r="E17" i="41"/>
  <c r="G17" i="41"/>
  <c r="I17" i="41"/>
  <c r="K17" i="41"/>
  <c r="R17" i="41"/>
  <c r="S17" i="41" s="1"/>
  <c r="S29" i="41" s="1"/>
  <c r="T17" i="41"/>
  <c r="B18" i="41"/>
  <c r="E18" i="41"/>
  <c r="G18" i="41"/>
  <c r="I18" i="41"/>
  <c r="K18" i="41"/>
  <c r="R18" i="41"/>
  <c r="S18" i="41" s="1"/>
  <c r="T18" i="41"/>
  <c r="B19" i="41"/>
  <c r="E19" i="41"/>
  <c r="G19" i="41"/>
  <c r="I19" i="41"/>
  <c r="K19" i="41"/>
  <c r="R19" i="41"/>
  <c r="S19" i="41" s="1"/>
  <c r="T19" i="41"/>
  <c r="B20" i="41"/>
  <c r="E20" i="41"/>
  <c r="G20" i="41"/>
  <c r="I20" i="41"/>
  <c r="K20" i="41"/>
  <c r="R20" i="41"/>
  <c r="S20" i="41" s="1"/>
  <c r="T20" i="41"/>
  <c r="B21" i="41"/>
  <c r="E21" i="41"/>
  <c r="G21" i="41"/>
  <c r="I21" i="41"/>
  <c r="K21" i="41"/>
  <c r="R21" i="41"/>
  <c r="S21" i="41" s="1"/>
  <c r="T21" i="41"/>
  <c r="B22" i="41"/>
  <c r="E22" i="41"/>
  <c r="G22" i="41"/>
  <c r="I22" i="41"/>
  <c r="K22" i="41"/>
  <c r="R22" i="41"/>
  <c r="S22" i="41" s="1"/>
  <c r="T22" i="41"/>
  <c r="B23" i="41"/>
  <c r="E23" i="41"/>
  <c r="G23" i="41"/>
  <c r="I23" i="41"/>
  <c r="K23" i="41"/>
  <c r="R23" i="41"/>
  <c r="S23" i="41" s="1"/>
  <c r="T23" i="41"/>
  <c r="B24" i="41"/>
  <c r="E24" i="41"/>
  <c r="G24" i="41"/>
  <c r="I24" i="41"/>
  <c r="K24" i="41"/>
  <c r="R24" i="41"/>
  <c r="S24" i="41" s="1"/>
  <c r="T24" i="41"/>
  <c r="B25" i="41"/>
  <c r="E25" i="41"/>
  <c r="G25" i="41"/>
  <c r="I25" i="41"/>
  <c r="K25" i="41"/>
  <c r="R25" i="41"/>
  <c r="S25" i="41" s="1"/>
  <c r="T25" i="41"/>
  <c r="B26" i="41"/>
  <c r="E26" i="41"/>
  <c r="G26" i="41"/>
  <c r="I26" i="41"/>
  <c r="K26" i="41"/>
  <c r="R26" i="41"/>
  <c r="S26" i="41" s="1"/>
  <c r="B27" i="41"/>
  <c r="E27" i="41"/>
  <c r="G27" i="41"/>
  <c r="I27" i="41"/>
  <c r="K27" i="41"/>
  <c r="R27" i="41"/>
  <c r="S27" i="41" s="1"/>
  <c r="B28" i="41"/>
  <c r="E28" i="41"/>
  <c r="G28" i="41"/>
  <c r="I28" i="41"/>
  <c r="K28" i="41"/>
  <c r="J29" i="41"/>
  <c r="M14" i="41"/>
  <c r="M31" i="41"/>
  <c r="A33" i="41"/>
  <c r="A38" i="41"/>
  <c r="A52" i="41"/>
  <c r="B52" i="41"/>
  <c r="C52" i="41"/>
  <c r="D52" i="41"/>
  <c r="A2" i="46"/>
  <c r="B17" i="46"/>
  <c r="E17" i="46"/>
  <c r="G17" i="46"/>
  <c r="I17" i="46"/>
  <c r="K17" i="46"/>
  <c r="R17" i="46"/>
  <c r="S17" i="46" s="1"/>
  <c r="S29" i="46" s="1"/>
  <c r="T17" i="46"/>
  <c r="B18" i="46"/>
  <c r="E18" i="46"/>
  <c r="G18" i="46"/>
  <c r="I18" i="46"/>
  <c r="K18" i="46"/>
  <c r="R18" i="46"/>
  <c r="S18" i="46" s="1"/>
  <c r="T18" i="46"/>
  <c r="B19" i="46"/>
  <c r="E19" i="46"/>
  <c r="G19" i="46"/>
  <c r="I19" i="46"/>
  <c r="K19" i="46"/>
  <c r="R19" i="46"/>
  <c r="S19" i="46" s="1"/>
  <c r="T19" i="46"/>
  <c r="B20" i="46"/>
  <c r="E20" i="46"/>
  <c r="G20" i="46"/>
  <c r="I20" i="46"/>
  <c r="K20" i="46"/>
  <c r="R20" i="46"/>
  <c r="S20" i="46" s="1"/>
  <c r="T20" i="46"/>
  <c r="B21" i="46"/>
  <c r="E21" i="46"/>
  <c r="G21" i="46"/>
  <c r="I21" i="46"/>
  <c r="K21" i="46"/>
  <c r="R21" i="46"/>
  <c r="S21" i="46" s="1"/>
  <c r="T21" i="46"/>
  <c r="B22" i="46"/>
  <c r="E22" i="46"/>
  <c r="G22" i="46"/>
  <c r="I22" i="46"/>
  <c r="K22" i="46"/>
  <c r="R22" i="46"/>
  <c r="S22" i="46" s="1"/>
  <c r="T22" i="46"/>
  <c r="B23" i="46"/>
  <c r="E23" i="46"/>
  <c r="G23" i="46"/>
  <c r="I23" i="46"/>
  <c r="K23" i="46"/>
  <c r="R23" i="46"/>
  <c r="S23" i="46" s="1"/>
  <c r="T23" i="46"/>
  <c r="B24" i="46"/>
  <c r="E24" i="46"/>
  <c r="G24" i="46"/>
  <c r="I24" i="46"/>
  <c r="K24" i="46"/>
  <c r="R24" i="46"/>
  <c r="S24" i="46" s="1"/>
  <c r="T24" i="46"/>
  <c r="B25" i="46"/>
  <c r="E25" i="46"/>
  <c r="G25" i="46"/>
  <c r="I25" i="46"/>
  <c r="K25" i="46"/>
  <c r="R25" i="46"/>
  <c r="S25" i="46" s="1"/>
  <c r="T25" i="46"/>
  <c r="B26" i="46"/>
  <c r="E26" i="46"/>
  <c r="G26" i="46"/>
  <c r="I26" i="46"/>
  <c r="K26" i="46"/>
  <c r="R26" i="46"/>
  <c r="S26" i="46" s="1"/>
  <c r="B27" i="46"/>
  <c r="E27" i="46"/>
  <c r="G27" i="46"/>
  <c r="I27" i="46"/>
  <c r="K27" i="46"/>
  <c r="R27" i="46"/>
  <c r="S27" i="46"/>
  <c r="B28" i="46"/>
  <c r="E28" i="46"/>
  <c r="G28" i="46"/>
  <c r="I28" i="46"/>
  <c r="K28" i="46"/>
  <c r="J29" i="46"/>
  <c r="M14" i="46" s="1"/>
  <c r="M31" i="46"/>
  <c r="A33" i="46"/>
  <c r="A38" i="46"/>
  <c r="A52" i="46"/>
  <c r="B52" i="46"/>
  <c r="C52" i="46"/>
  <c r="D52" i="46"/>
  <c r="A2" i="47"/>
  <c r="B17" i="47"/>
  <c r="E17" i="47"/>
  <c r="G17" i="47"/>
  <c r="I17" i="47"/>
  <c r="K17" i="47"/>
  <c r="R17" i="47"/>
  <c r="S17" i="47" s="1"/>
  <c r="S29" i="47" s="1"/>
  <c r="T17" i="47"/>
  <c r="B18" i="47"/>
  <c r="E18" i="47"/>
  <c r="G18" i="47"/>
  <c r="I18" i="47"/>
  <c r="K18" i="47"/>
  <c r="R18" i="47"/>
  <c r="S18" i="47" s="1"/>
  <c r="T18" i="47"/>
  <c r="B19" i="47"/>
  <c r="E19" i="47"/>
  <c r="G19" i="47"/>
  <c r="I19" i="47"/>
  <c r="K19" i="47"/>
  <c r="R19" i="47"/>
  <c r="S19" i="47" s="1"/>
  <c r="T19" i="47"/>
  <c r="B20" i="47"/>
  <c r="E20" i="47"/>
  <c r="G20" i="47"/>
  <c r="I20" i="47"/>
  <c r="K20" i="47"/>
  <c r="R20" i="47"/>
  <c r="S20" i="47" s="1"/>
  <c r="T20" i="47"/>
  <c r="B21" i="47"/>
  <c r="E21" i="47"/>
  <c r="G21" i="47"/>
  <c r="I21" i="47"/>
  <c r="K21" i="47"/>
  <c r="R21" i="47"/>
  <c r="S21" i="47" s="1"/>
  <c r="T21" i="47"/>
  <c r="B22" i="47"/>
  <c r="E22" i="47"/>
  <c r="G22" i="47"/>
  <c r="I22" i="47"/>
  <c r="K22" i="47"/>
  <c r="R22" i="47"/>
  <c r="S22" i="47" s="1"/>
  <c r="T22" i="47"/>
  <c r="B23" i="47"/>
  <c r="E23" i="47"/>
  <c r="G23" i="47"/>
  <c r="I23" i="47"/>
  <c r="K23" i="47"/>
  <c r="R23" i="47"/>
  <c r="S23" i="47" s="1"/>
  <c r="T23" i="47"/>
  <c r="B24" i="47"/>
  <c r="E24" i="47"/>
  <c r="G24" i="47"/>
  <c r="I24" i="47"/>
  <c r="K24" i="47"/>
  <c r="R24" i="47"/>
  <c r="S24" i="47" s="1"/>
  <c r="T24" i="47"/>
  <c r="B25" i="47"/>
  <c r="E25" i="47"/>
  <c r="G25" i="47"/>
  <c r="I25" i="47"/>
  <c r="K25" i="47"/>
  <c r="R25" i="47"/>
  <c r="S25" i="47" s="1"/>
  <c r="T25" i="47"/>
  <c r="B26" i="47"/>
  <c r="E26" i="47"/>
  <c r="G26" i="47"/>
  <c r="I26" i="47"/>
  <c r="K26" i="47"/>
  <c r="R26" i="47"/>
  <c r="S26" i="47" s="1"/>
  <c r="B27" i="47"/>
  <c r="E27" i="47"/>
  <c r="G27" i="47"/>
  <c r="I27" i="47"/>
  <c r="K27" i="47"/>
  <c r="R27" i="47"/>
  <c r="S27" i="47" s="1"/>
  <c r="B28" i="47"/>
  <c r="E28" i="47"/>
  <c r="G28" i="47"/>
  <c r="I28" i="47"/>
  <c r="K28" i="47"/>
  <c r="J29" i="47"/>
  <c r="M31" i="47"/>
  <c r="L17" i="47" s="1"/>
  <c r="M17" i="47" s="1"/>
  <c r="M29" i="47" s="1"/>
  <c r="M30" i="47" s="1"/>
  <c r="M38" i="47" s="1"/>
  <c r="V22" i="47" s="1"/>
  <c r="V23" i="47" s="1"/>
  <c r="A33" i="47"/>
  <c r="A38" i="47"/>
  <c r="A52" i="47"/>
  <c r="B52" i="47"/>
  <c r="C52" i="47"/>
  <c r="D52" i="47"/>
  <c r="A2" i="48"/>
  <c r="B17" i="48"/>
  <c r="E17" i="48"/>
  <c r="G17" i="48"/>
  <c r="I17" i="48"/>
  <c r="K17" i="48"/>
  <c r="R17" i="48"/>
  <c r="S17" i="48" s="1"/>
  <c r="S29" i="48" s="1"/>
  <c r="T17" i="48"/>
  <c r="B18" i="48"/>
  <c r="E18" i="48"/>
  <c r="G18" i="48"/>
  <c r="I18" i="48"/>
  <c r="K18" i="48"/>
  <c r="R18" i="48"/>
  <c r="S18" i="48" s="1"/>
  <c r="T18" i="48"/>
  <c r="B19" i="48"/>
  <c r="E19" i="48"/>
  <c r="G19" i="48"/>
  <c r="I19" i="48"/>
  <c r="K19" i="48"/>
  <c r="R19" i="48"/>
  <c r="S19" i="48" s="1"/>
  <c r="T19" i="48"/>
  <c r="B20" i="48"/>
  <c r="E20" i="48"/>
  <c r="G20" i="48"/>
  <c r="I20" i="48"/>
  <c r="K20" i="48"/>
  <c r="R20" i="48"/>
  <c r="S20" i="48" s="1"/>
  <c r="T20" i="48"/>
  <c r="B21" i="48"/>
  <c r="E21" i="48"/>
  <c r="G21" i="48"/>
  <c r="I21" i="48"/>
  <c r="K21" i="48"/>
  <c r="R21" i="48"/>
  <c r="S21" i="48" s="1"/>
  <c r="T21" i="48"/>
  <c r="B22" i="48"/>
  <c r="E22" i="48"/>
  <c r="G22" i="48"/>
  <c r="I22" i="48"/>
  <c r="K22" i="48"/>
  <c r="R22" i="48"/>
  <c r="S22" i="48" s="1"/>
  <c r="T22" i="48"/>
  <c r="B23" i="48"/>
  <c r="E23" i="48"/>
  <c r="G23" i="48"/>
  <c r="I23" i="48"/>
  <c r="K23" i="48"/>
  <c r="R23" i="48"/>
  <c r="S23" i="48" s="1"/>
  <c r="T23" i="48"/>
  <c r="B24" i="48"/>
  <c r="E24" i="48"/>
  <c r="G24" i="48"/>
  <c r="I24" i="48"/>
  <c r="K24" i="48"/>
  <c r="R24" i="48"/>
  <c r="S24" i="48" s="1"/>
  <c r="T24" i="48"/>
  <c r="B25" i="48"/>
  <c r="E25" i="48"/>
  <c r="G25" i="48"/>
  <c r="I25" i="48"/>
  <c r="K25" i="48"/>
  <c r="R25" i="48"/>
  <c r="S25" i="48" s="1"/>
  <c r="T25" i="48"/>
  <c r="B26" i="48"/>
  <c r="E26" i="48"/>
  <c r="G26" i="48"/>
  <c r="I26" i="48"/>
  <c r="K26" i="48"/>
  <c r="R26" i="48"/>
  <c r="S26" i="48" s="1"/>
  <c r="B27" i="48"/>
  <c r="E27" i="48"/>
  <c r="G27" i="48"/>
  <c r="I27" i="48"/>
  <c r="K27" i="48"/>
  <c r="R27" i="48"/>
  <c r="S27" i="48" s="1"/>
  <c r="B28" i="48"/>
  <c r="E28" i="48"/>
  <c r="G28" i="48"/>
  <c r="I28" i="48"/>
  <c r="K28" i="48"/>
  <c r="J29" i="48"/>
  <c r="M14" i="48" s="1"/>
  <c r="M31" i="48"/>
  <c r="A33" i="48"/>
  <c r="A38" i="48"/>
  <c r="A52" i="48"/>
  <c r="B52" i="48"/>
  <c r="C52" i="48"/>
  <c r="D52" i="48"/>
  <c r="A2" i="42"/>
  <c r="B17" i="42"/>
  <c r="E17" i="42"/>
  <c r="G17" i="42"/>
  <c r="I17" i="42"/>
  <c r="K17" i="42"/>
  <c r="R17" i="42"/>
  <c r="S17" i="42" s="1"/>
  <c r="S29" i="42" s="1"/>
  <c r="T17" i="42"/>
  <c r="B18" i="42"/>
  <c r="E18" i="42"/>
  <c r="G18" i="42"/>
  <c r="I18" i="42"/>
  <c r="K18" i="42"/>
  <c r="R18" i="42"/>
  <c r="S18" i="42" s="1"/>
  <c r="T18" i="42"/>
  <c r="B19" i="42"/>
  <c r="E19" i="42"/>
  <c r="G19" i="42"/>
  <c r="I19" i="42"/>
  <c r="K19" i="42"/>
  <c r="R19" i="42"/>
  <c r="S19" i="42" s="1"/>
  <c r="T19" i="42"/>
  <c r="B20" i="42"/>
  <c r="E20" i="42"/>
  <c r="G20" i="42"/>
  <c r="I20" i="42"/>
  <c r="K20" i="42"/>
  <c r="R20" i="42"/>
  <c r="S20" i="42" s="1"/>
  <c r="T20" i="42"/>
  <c r="B21" i="42"/>
  <c r="E21" i="42"/>
  <c r="G21" i="42"/>
  <c r="I21" i="42"/>
  <c r="K21" i="42"/>
  <c r="R21" i="42"/>
  <c r="S21" i="42" s="1"/>
  <c r="T21" i="42"/>
  <c r="B22" i="42"/>
  <c r="E22" i="42"/>
  <c r="G22" i="42"/>
  <c r="I22" i="42"/>
  <c r="K22" i="42"/>
  <c r="R22" i="42"/>
  <c r="S22" i="42" s="1"/>
  <c r="T22" i="42"/>
  <c r="B23" i="42"/>
  <c r="E23" i="42"/>
  <c r="G23" i="42"/>
  <c r="I23" i="42"/>
  <c r="K23" i="42"/>
  <c r="R23" i="42"/>
  <c r="S23" i="42" s="1"/>
  <c r="T23" i="42"/>
  <c r="B24" i="42"/>
  <c r="E24" i="42"/>
  <c r="G24" i="42"/>
  <c r="I24" i="42"/>
  <c r="K24" i="42"/>
  <c r="R24" i="42"/>
  <c r="S24" i="42" s="1"/>
  <c r="T24" i="42"/>
  <c r="B25" i="42"/>
  <c r="E25" i="42"/>
  <c r="G25" i="42"/>
  <c r="I25" i="42"/>
  <c r="K25" i="42"/>
  <c r="R25" i="42"/>
  <c r="S25" i="42" s="1"/>
  <c r="T25" i="42"/>
  <c r="B26" i="42"/>
  <c r="E26" i="42"/>
  <c r="G26" i="42"/>
  <c r="I26" i="42"/>
  <c r="K26" i="42"/>
  <c r="R26" i="42"/>
  <c r="S26" i="42" s="1"/>
  <c r="B27" i="42"/>
  <c r="E27" i="42"/>
  <c r="G27" i="42"/>
  <c r="I27" i="42"/>
  <c r="K27" i="42"/>
  <c r="R27" i="42"/>
  <c r="S27" i="42" s="1"/>
  <c r="B28" i="42"/>
  <c r="E28" i="42"/>
  <c r="G28" i="42"/>
  <c r="I28" i="42"/>
  <c r="K28" i="42"/>
  <c r="J29" i="42"/>
  <c r="M14" i="42" s="1"/>
  <c r="M31" i="42"/>
  <c r="L17" i="42" s="1"/>
  <c r="M17" i="42" s="1"/>
  <c r="M29" i="42" s="1"/>
  <c r="M30" i="42" s="1"/>
  <c r="M38" i="42" s="1"/>
  <c r="V22" i="42" s="1"/>
  <c r="A33" i="42"/>
  <c r="A38" i="42"/>
  <c r="A52" i="42"/>
  <c r="B52" i="42"/>
  <c r="C52" i="42"/>
  <c r="D52" i="42"/>
  <c r="A2" i="43"/>
  <c r="B17" i="43"/>
  <c r="E17" i="43"/>
  <c r="G17" i="43"/>
  <c r="I17" i="43"/>
  <c r="K17" i="43"/>
  <c r="R17" i="43"/>
  <c r="S17" i="43" s="1"/>
  <c r="S29" i="43" s="1"/>
  <c r="T17" i="43"/>
  <c r="B18" i="43"/>
  <c r="E18" i="43"/>
  <c r="G18" i="43"/>
  <c r="I18" i="43"/>
  <c r="K18" i="43"/>
  <c r="R18" i="43"/>
  <c r="S18" i="43" s="1"/>
  <c r="T18" i="43"/>
  <c r="B19" i="43"/>
  <c r="E19" i="43"/>
  <c r="G19" i="43"/>
  <c r="I19" i="43"/>
  <c r="K19" i="43"/>
  <c r="R19" i="43"/>
  <c r="S19" i="43" s="1"/>
  <c r="T19" i="43"/>
  <c r="B20" i="43"/>
  <c r="E20" i="43"/>
  <c r="G20" i="43"/>
  <c r="I20" i="43"/>
  <c r="K20" i="43"/>
  <c r="R20" i="43"/>
  <c r="S20" i="43" s="1"/>
  <c r="T20" i="43"/>
  <c r="B21" i="43"/>
  <c r="E21" i="43"/>
  <c r="G21" i="43"/>
  <c r="I21" i="43"/>
  <c r="K21" i="43"/>
  <c r="R21" i="43"/>
  <c r="S21" i="43" s="1"/>
  <c r="T21" i="43"/>
  <c r="B22" i="43"/>
  <c r="E22" i="43"/>
  <c r="G22" i="43"/>
  <c r="I22" i="43"/>
  <c r="K22" i="43"/>
  <c r="R22" i="43"/>
  <c r="S22" i="43" s="1"/>
  <c r="T22" i="43"/>
  <c r="B23" i="43"/>
  <c r="E23" i="43"/>
  <c r="G23" i="43"/>
  <c r="I23" i="43"/>
  <c r="K23" i="43"/>
  <c r="R23" i="43"/>
  <c r="S23" i="43" s="1"/>
  <c r="T23" i="43"/>
  <c r="B24" i="43"/>
  <c r="E24" i="43"/>
  <c r="G24" i="43"/>
  <c r="I24" i="43"/>
  <c r="K24" i="43"/>
  <c r="R24" i="43"/>
  <c r="S24" i="43"/>
  <c r="T24" i="43"/>
  <c r="B25" i="43"/>
  <c r="E25" i="43"/>
  <c r="G25" i="43"/>
  <c r="I25" i="43"/>
  <c r="K25" i="43"/>
  <c r="R25" i="43"/>
  <c r="S25" i="43"/>
  <c r="T25" i="43"/>
  <c r="B26" i="43"/>
  <c r="E26" i="43"/>
  <c r="G26" i="43"/>
  <c r="I26" i="43"/>
  <c r="K26" i="43"/>
  <c r="R26" i="43"/>
  <c r="S26" i="43"/>
  <c r="B27" i="43"/>
  <c r="E27" i="43"/>
  <c r="G27" i="43"/>
  <c r="I27" i="43"/>
  <c r="K27" i="43"/>
  <c r="R27" i="43"/>
  <c r="S27" i="43" s="1"/>
  <c r="B28" i="43"/>
  <c r="E28" i="43"/>
  <c r="G28" i="43"/>
  <c r="I28" i="43"/>
  <c r="K28" i="43"/>
  <c r="J29" i="43"/>
  <c r="M14" i="43" s="1"/>
  <c r="M31" i="43"/>
  <c r="A33" i="43"/>
  <c r="A38" i="43"/>
  <c r="A52" i="43"/>
  <c r="B52" i="43"/>
  <c r="C52" i="43"/>
  <c r="D52" i="43"/>
  <c r="A2" i="44"/>
  <c r="B17" i="44"/>
  <c r="E17" i="44"/>
  <c r="G17" i="44"/>
  <c r="I17" i="44"/>
  <c r="K17" i="44"/>
  <c r="R17" i="44"/>
  <c r="S17" i="44" s="1"/>
  <c r="S29" i="44" s="1"/>
  <c r="T17" i="44"/>
  <c r="B18" i="44"/>
  <c r="E18" i="44"/>
  <c r="G18" i="44"/>
  <c r="I18" i="44"/>
  <c r="K18" i="44"/>
  <c r="R18" i="44"/>
  <c r="S18" i="44" s="1"/>
  <c r="T18" i="44"/>
  <c r="B19" i="44"/>
  <c r="E19" i="44"/>
  <c r="G19" i="44"/>
  <c r="I19" i="44"/>
  <c r="K19" i="44"/>
  <c r="R19" i="44"/>
  <c r="S19" i="44" s="1"/>
  <c r="T19" i="44"/>
  <c r="B20" i="44"/>
  <c r="E20" i="44"/>
  <c r="G20" i="44"/>
  <c r="I20" i="44"/>
  <c r="K20" i="44"/>
  <c r="R20" i="44"/>
  <c r="S20" i="44" s="1"/>
  <c r="T20" i="44"/>
  <c r="B21" i="44"/>
  <c r="E21" i="44"/>
  <c r="G21" i="44"/>
  <c r="I21" i="44"/>
  <c r="K21" i="44"/>
  <c r="R21" i="44"/>
  <c r="S21" i="44" s="1"/>
  <c r="T21" i="44"/>
  <c r="B22" i="44"/>
  <c r="E22" i="44"/>
  <c r="G22" i="44"/>
  <c r="I22" i="44"/>
  <c r="K22" i="44"/>
  <c r="R22" i="44"/>
  <c r="S22" i="44" s="1"/>
  <c r="T22" i="44"/>
  <c r="B23" i="44"/>
  <c r="E23" i="44"/>
  <c r="G23" i="44"/>
  <c r="I23" i="44"/>
  <c r="K23" i="44"/>
  <c r="R23" i="44"/>
  <c r="S23" i="44" s="1"/>
  <c r="T23" i="44"/>
  <c r="B24" i="44"/>
  <c r="E24" i="44"/>
  <c r="G24" i="44"/>
  <c r="I24" i="44"/>
  <c r="K24" i="44"/>
  <c r="R24" i="44"/>
  <c r="S24" i="44" s="1"/>
  <c r="T24" i="44"/>
  <c r="B25" i="44"/>
  <c r="E25" i="44"/>
  <c r="G25" i="44"/>
  <c r="I25" i="44"/>
  <c r="K25" i="44"/>
  <c r="R25" i="44"/>
  <c r="S25" i="44" s="1"/>
  <c r="T25" i="44"/>
  <c r="B26" i="44"/>
  <c r="E26" i="44"/>
  <c r="G26" i="44"/>
  <c r="I26" i="44"/>
  <c r="K26" i="44"/>
  <c r="R26" i="44"/>
  <c r="S26" i="44" s="1"/>
  <c r="B27" i="44"/>
  <c r="E27" i="44"/>
  <c r="G27" i="44"/>
  <c r="I27" i="44"/>
  <c r="K27" i="44"/>
  <c r="R27" i="44"/>
  <c r="S27" i="44" s="1"/>
  <c r="B28" i="44"/>
  <c r="E28" i="44"/>
  <c r="G28" i="44"/>
  <c r="I28" i="44"/>
  <c r="K28" i="44"/>
  <c r="J29" i="44"/>
  <c r="M14" i="44"/>
  <c r="M31" i="44"/>
  <c r="A33" i="44"/>
  <c r="A38" i="44"/>
  <c r="A52" i="44"/>
  <c r="B52" i="44"/>
  <c r="C52" i="44"/>
  <c r="D52" i="44"/>
  <c r="A2" i="45"/>
  <c r="B17" i="45"/>
  <c r="E17" i="45"/>
  <c r="G17" i="45"/>
  <c r="I17" i="45"/>
  <c r="K17" i="45"/>
  <c r="R17" i="45"/>
  <c r="S17" i="45" s="1"/>
  <c r="S29" i="45" s="1"/>
  <c r="T17" i="45"/>
  <c r="B18" i="45"/>
  <c r="E18" i="45"/>
  <c r="G18" i="45"/>
  <c r="I18" i="45"/>
  <c r="K18" i="45"/>
  <c r="R18" i="45"/>
  <c r="S18" i="45" s="1"/>
  <c r="T18" i="45"/>
  <c r="B19" i="45"/>
  <c r="E19" i="45"/>
  <c r="G19" i="45"/>
  <c r="I19" i="45"/>
  <c r="K19" i="45"/>
  <c r="R19" i="45"/>
  <c r="S19" i="45" s="1"/>
  <c r="T19" i="45"/>
  <c r="B20" i="45"/>
  <c r="E20" i="45"/>
  <c r="G20" i="45"/>
  <c r="I20" i="45"/>
  <c r="K20" i="45"/>
  <c r="R20" i="45"/>
  <c r="S20" i="45" s="1"/>
  <c r="T20" i="45"/>
  <c r="B21" i="45"/>
  <c r="E21" i="45"/>
  <c r="G21" i="45"/>
  <c r="I21" i="45"/>
  <c r="K21" i="45"/>
  <c r="R21" i="45"/>
  <c r="S21" i="45" s="1"/>
  <c r="T21" i="45"/>
  <c r="B22" i="45"/>
  <c r="E22" i="45"/>
  <c r="G22" i="45"/>
  <c r="I22" i="45"/>
  <c r="K22" i="45"/>
  <c r="R22" i="45"/>
  <c r="S22" i="45" s="1"/>
  <c r="T22" i="45"/>
  <c r="B23" i="45"/>
  <c r="E23" i="45"/>
  <c r="G23" i="45"/>
  <c r="I23" i="45"/>
  <c r="K23" i="45"/>
  <c r="R23" i="45"/>
  <c r="S23" i="45" s="1"/>
  <c r="T23" i="45"/>
  <c r="B24" i="45"/>
  <c r="E24" i="45"/>
  <c r="G24" i="45"/>
  <c r="I24" i="45"/>
  <c r="K24" i="45"/>
  <c r="R24" i="45"/>
  <c r="S24" i="45" s="1"/>
  <c r="T24" i="45"/>
  <c r="B25" i="45"/>
  <c r="E25" i="45"/>
  <c r="G25" i="45"/>
  <c r="I25" i="45"/>
  <c r="K25" i="45"/>
  <c r="R25" i="45"/>
  <c r="S25" i="45" s="1"/>
  <c r="T25" i="45"/>
  <c r="B26" i="45"/>
  <c r="E26" i="45"/>
  <c r="G26" i="45"/>
  <c r="I26" i="45"/>
  <c r="K26" i="45"/>
  <c r="R26" i="45"/>
  <c r="S26" i="45" s="1"/>
  <c r="B27" i="45"/>
  <c r="E27" i="45"/>
  <c r="G27" i="45"/>
  <c r="I27" i="45"/>
  <c r="K27" i="45"/>
  <c r="R27" i="45"/>
  <c r="S27" i="45" s="1"/>
  <c r="B28" i="45"/>
  <c r="E28" i="45"/>
  <c r="G28" i="45"/>
  <c r="I28" i="45"/>
  <c r="K28" i="45"/>
  <c r="J29" i="45"/>
  <c r="M14" i="45"/>
  <c r="M31" i="45"/>
  <c r="A33" i="45"/>
  <c r="A38" i="45"/>
  <c r="A52" i="45"/>
  <c r="B52" i="45"/>
  <c r="C52" i="45"/>
  <c r="D52" i="45"/>
  <c r="A2" i="49"/>
  <c r="B17" i="49"/>
  <c r="E17" i="49"/>
  <c r="G17" i="49"/>
  <c r="I17" i="49"/>
  <c r="K17" i="49"/>
  <c r="R17" i="49"/>
  <c r="S17" i="49" s="1"/>
  <c r="S29" i="49" s="1"/>
  <c r="T17" i="49"/>
  <c r="B18" i="49"/>
  <c r="E18" i="49"/>
  <c r="G18" i="49"/>
  <c r="I18" i="49"/>
  <c r="K18" i="49"/>
  <c r="R18" i="49"/>
  <c r="S18" i="49" s="1"/>
  <c r="T18" i="49"/>
  <c r="B19" i="49"/>
  <c r="E19" i="49"/>
  <c r="G19" i="49"/>
  <c r="I19" i="49"/>
  <c r="K19" i="49"/>
  <c r="R19" i="49"/>
  <c r="S19" i="49" s="1"/>
  <c r="T19" i="49"/>
  <c r="B20" i="49"/>
  <c r="E20" i="49"/>
  <c r="G20" i="49"/>
  <c r="I20" i="49"/>
  <c r="K20" i="49"/>
  <c r="R20" i="49"/>
  <c r="S20" i="49" s="1"/>
  <c r="T20" i="49"/>
  <c r="B21" i="49"/>
  <c r="E21" i="49"/>
  <c r="G21" i="49"/>
  <c r="I21" i="49"/>
  <c r="K21" i="49"/>
  <c r="R21" i="49"/>
  <c r="S21" i="49" s="1"/>
  <c r="T21" i="49"/>
  <c r="B22" i="49"/>
  <c r="E22" i="49"/>
  <c r="G22" i="49"/>
  <c r="I22" i="49"/>
  <c r="K22" i="49"/>
  <c r="R22" i="49"/>
  <c r="S22" i="49" s="1"/>
  <c r="T22" i="49"/>
  <c r="B23" i="49"/>
  <c r="E23" i="49"/>
  <c r="G23" i="49"/>
  <c r="I23" i="49"/>
  <c r="K23" i="49"/>
  <c r="R23" i="49"/>
  <c r="S23" i="49" s="1"/>
  <c r="T23" i="49"/>
  <c r="B24" i="49"/>
  <c r="E24" i="49"/>
  <c r="G24" i="49"/>
  <c r="I24" i="49"/>
  <c r="K24" i="49"/>
  <c r="R24" i="49"/>
  <c r="S24" i="49" s="1"/>
  <c r="T24" i="49"/>
  <c r="B25" i="49"/>
  <c r="E25" i="49"/>
  <c r="G25" i="49"/>
  <c r="I25" i="49"/>
  <c r="K25" i="49"/>
  <c r="R25" i="49"/>
  <c r="S25" i="49" s="1"/>
  <c r="T25" i="49"/>
  <c r="B26" i="49"/>
  <c r="E26" i="49"/>
  <c r="G26" i="49"/>
  <c r="I26" i="49"/>
  <c r="K26" i="49"/>
  <c r="R26" i="49"/>
  <c r="S26" i="49" s="1"/>
  <c r="B27" i="49"/>
  <c r="E27" i="49"/>
  <c r="G27" i="49"/>
  <c r="I27" i="49"/>
  <c r="K27" i="49"/>
  <c r="R27" i="49"/>
  <c r="S27" i="49" s="1"/>
  <c r="B28" i="49"/>
  <c r="E28" i="49"/>
  <c r="G28" i="49"/>
  <c r="I28" i="49"/>
  <c r="K28" i="49"/>
  <c r="J29" i="49"/>
  <c r="M14" i="49" s="1"/>
  <c r="M31" i="49"/>
  <c r="L17" i="49" s="1"/>
  <c r="M17" i="49" s="1"/>
  <c r="M29" i="49" s="1"/>
  <c r="M30" i="49" s="1"/>
  <c r="M38" i="49" s="1"/>
  <c r="V22" i="49" s="1"/>
  <c r="V23" i="49" s="1"/>
  <c r="A33" i="49"/>
  <c r="A38" i="49"/>
  <c r="A52" i="49"/>
  <c r="B52" i="49"/>
  <c r="C52" i="49"/>
  <c r="D52" i="49"/>
  <c r="A2" i="50"/>
  <c r="B17" i="50"/>
  <c r="E17" i="50"/>
  <c r="G17" i="50"/>
  <c r="I17" i="50"/>
  <c r="K17" i="50"/>
  <c r="R17" i="50"/>
  <c r="S17" i="50" s="1"/>
  <c r="S29" i="50" s="1"/>
  <c r="T17" i="50"/>
  <c r="B18" i="50"/>
  <c r="E18" i="50"/>
  <c r="G18" i="50"/>
  <c r="I18" i="50"/>
  <c r="K18" i="50"/>
  <c r="R18" i="50"/>
  <c r="S18" i="50" s="1"/>
  <c r="T18" i="50"/>
  <c r="B19" i="50"/>
  <c r="E19" i="50"/>
  <c r="G19" i="50"/>
  <c r="I19" i="50"/>
  <c r="K19" i="50"/>
  <c r="R19" i="50"/>
  <c r="S19" i="50" s="1"/>
  <c r="T19" i="50"/>
  <c r="B20" i="50"/>
  <c r="E20" i="50"/>
  <c r="G20" i="50"/>
  <c r="I20" i="50"/>
  <c r="K20" i="50"/>
  <c r="R20" i="50"/>
  <c r="S20" i="50" s="1"/>
  <c r="T20" i="50"/>
  <c r="B21" i="50"/>
  <c r="E21" i="50"/>
  <c r="G21" i="50"/>
  <c r="I21" i="50"/>
  <c r="K21" i="50"/>
  <c r="R21" i="50"/>
  <c r="S21" i="50" s="1"/>
  <c r="T21" i="50"/>
  <c r="B22" i="50"/>
  <c r="E22" i="50"/>
  <c r="G22" i="50"/>
  <c r="I22" i="50"/>
  <c r="K22" i="50"/>
  <c r="R22" i="50"/>
  <c r="S22" i="50" s="1"/>
  <c r="T22" i="50"/>
  <c r="B23" i="50"/>
  <c r="E23" i="50"/>
  <c r="G23" i="50"/>
  <c r="I23" i="50"/>
  <c r="K23" i="50"/>
  <c r="R23" i="50"/>
  <c r="S23" i="50" s="1"/>
  <c r="T23" i="50"/>
  <c r="B24" i="50"/>
  <c r="E24" i="50"/>
  <c r="G24" i="50"/>
  <c r="I24" i="50"/>
  <c r="K24" i="50"/>
  <c r="R24" i="50"/>
  <c r="S24" i="50" s="1"/>
  <c r="T24" i="50"/>
  <c r="B25" i="50"/>
  <c r="E25" i="50"/>
  <c r="G25" i="50"/>
  <c r="I25" i="50"/>
  <c r="K25" i="50"/>
  <c r="R25" i="50"/>
  <c r="S25" i="50" s="1"/>
  <c r="T25" i="50"/>
  <c r="B26" i="50"/>
  <c r="E26" i="50"/>
  <c r="G26" i="50"/>
  <c r="I26" i="50"/>
  <c r="K26" i="50"/>
  <c r="R26" i="50"/>
  <c r="S26" i="50" s="1"/>
  <c r="B27" i="50"/>
  <c r="E27" i="50"/>
  <c r="G27" i="50"/>
  <c r="I27" i="50"/>
  <c r="K27" i="50"/>
  <c r="R27" i="50"/>
  <c r="S27" i="50" s="1"/>
  <c r="B28" i="50"/>
  <c r="E28" i="50"/>
  <c r="G28" i="50"/>
  <c r="I28" i="50"/>
  <c r="K28" i="50"/>
  <c r="J29" i="50"/>
  <c r="M31" i="50"/>
  <c r="A33" i="50"/>
  <c r="A38" i="50"/>
  <c r="A52" i="50"/>
  <c r="B52" i="50"/>
  <c r="C52" i="50"/>
  <c r="D52" i="50"/>
  <c r="A2" i="54"/>
  <c r="B17" i="54"/>
  <c r="E17" i="54"/>
  <c r="G17" i="54"/>
  <c r="I17" i="54"/>
  <c r="K17" i="54"/>
  <c r="R17" i="54"/>
  <c r="S17" i="54" s="1"/>
  <c r="S29" i="54" s="1"/>
  <c r="T17" i="54"/>
  <c r="B18" i="54"/>
  <c r="E18" i="54"/>
  <c r="G18" i="54"/>
  <c r="I18" i="54"/>
  <c r="K18" i="54"/>
  <c r="R18" i="54"/>
  <c r="S18" i="54" s="1"/>
  <c r="T18" i="54"/>
  <c r="B19" i="54"/>
  <c r="E19" i="54"/>
  <c r="G19" i="54"/>
  <c r="I19" i="54"/>
  <c r="K19" i="54"/>
  <c r="R19" i="54"/>
  <c r="S19" i="54" s="1"/>
  <c r="T19" i="54"/>
  <c r="B20" i="54"/>
  <c r="E20" i="54"/>
  <c r="G20" i="54"/>
  <c r="I20" i="54"/>
  <c r="K20" i="54"/>
  <c r="R20" i="54"/>
  <c r="S20" i="54" s="1"/>
  <c r="T20" i="54"/>
  <c r="B21" i="54"/>
  <c r="E21" i="54"/>
  <c r="G21" i="54"/>
  <c r="I21" i="54"/>
  <c r="K21" i="54"/>
  <c r="R21" i="54"/>
  <c r="S21" i="54" s="1"/>
  <c r="T21" i="54"/>
  <c r="B22" i="54"/>
  <c r="E22" i="54"/>
  <c r="G22" i="54"/>
  <c r="I22" i="54"/>
  <c r="K22" i="54"/>
  <c r="R22" i="54"/>
  <c r="S22" i="54" s="1"/>
  <c r="T22" i="54"/>
  <c r="B23" i="54"/>
  <c r="E23" i="54"/>
  <c r="G23" i="54"/>
  <c r="I23" i="54"/>
  <c r="K23" i="54"/>
  <c r="R23" i="54"/>
  <c r="S23" i="54" s="1"/>
  <c r="T23" i="54"/>
  <c r="B24" i="54"/>
  <c r="E24" i="54"/>
  <c r="G24" i="54"/>
  <c r="I24" i="54"/>
  <c r="K24" i="54"/>
  <c r="R24" i="54"/>
  <c r="S24" i="54" s="1"/>
  <c r="T24" i="54"/>
  <c r="B25" i="54"/>
  <c r="E25" i="54"/>
  <c r="G25" i="54"/>
  <c r="I25" i="54"/>
  <c r="K25" i="54"/>
  <c r="R25" i="54"/>
  <c r="S25" i="54" s="1"/>
  <c r="T25" i="54"/>
  <c r="B26" i="54"/>
  <c r="E26" i="54"/>
  <c r="G26" i="54"/>
  <c r="I26" i="54"/>
  <c r="K26" i="54"/>
  <c r="R26" i="54"/>
  <c r="S26" i="54" s="1"/>
  <c r="B27" i="54"/>
  <c r="E27" i="54"/>
  <c r="G27" i="54"/>
  <c r="I27" i="54"/>
  <c r="K27" i="54"/>
  <c r="R27" i="54"/>
  <c r="S27" i="54" s="1"/>
  <c r="B28" i="54"/>
  <c r="E28" i="54"/>
  <c r="G28" i="54"/>
  <c r="I28" i="54"/>
  <c r="K28" i="54"/>
  <c r="J29" i="54"/>
  <c r="M14" i="54"/>
  <c r="M31" i="54"/>
  <c r="A33" i="54"/>
  <c r="A38" i="54"/>
  <c r="A52" i="54"/>
  <c r="B52" i="54"/>
  <c r="C52" i="54"/>
  <c r="D52" i="54"/>
  <c r="A2" i="61"/>
  <c r="C11" i="61"/>
  <c r="A12" i="61"/>
  <c r="B13" i="61"/>
  <c r="B14" i="61"/>
  <c r="B17" i="61"/>
  <c r="E17" i="61"/>
  <c r="G17" i="61"/>
  <c r="I17" i="61"/>
  <c r="J17" i="61"/>
  <c r="L17" i="61"/>
  <c r="M17" i="61"/>
  <c r="T17" i="61"/>
  <c r="U17" i="61" s="1"/>
  <c r="V17" i="61"/>
  <c r="B18" i="61"/>
  <c r="E18" i="61"/>
  <c r="G18" i="61"/>
  <c r="I18" i="61"/>
  <c r="J18" i="61"/>
  <c r="L18" i="61"/>
  <c r="M18" i="61"/>
  <c r="N18" i="61"/>
  <c r="O18" i="61"/>
  <c r="T18" i="61"/>
  <c r="U18" i="61"/>
  <c r="V18" i="61"/>
  <c r="B19" i="61"/>
  <c r="E19" i="61"/>
  <c r="G19" i="61"/>
  <c r="I19" i="61"/>
  <c r="J19" i="61"/>
  <c r="L19" i="61"/>
  <c r="M19" i="61"/>
  <c r="N19" i="61"/>
  <c r="O19" i="61"/>
  <c r="T19" i="61"/>
  <c r="U19" i="61"/>
  <c r="V19" i="61"/>
  <c r="B20" i="61"/>
  <c r="E20" i="61"/>
  <c r="G20" i="61"/>
  <c r="I20" i="61"/>
  <c r="J20" i="61"/>
  <c r="L20" i="61"/>
  <c r="M20" i="61"/>
  <c r="N20" i="61"/>
  <c r="O20" i="61"/>
  <c r="T20" i="61"/>
  <c r="U20" i="61"/>
  <c r="V20" i="61"/>
  <c r="B21" i="61"/>
  <c r="E21" i="61"/>
  <c r="G21" i="61"/>
  <c r="I21" i="61"/>
  <c r="J21" i="61"/>
  <c r="L21" i="61"/>
  <c r="M21" i="61"/>
  <c r="N21" i="61"/>
  <c r="O21" i="61"/>
  <c r="T21" i="61"/>
  <c r="U21" i="61"/>
  <c r="V21" i="61"/>
  <c r="B22" i="61"/>
  <c r="E22" i="61"/>
  <c r="G22" i="61"/>
  <c r="I22" i="61"/>
  <c r="J22" i="61"/>
  <c r="L22" i="61"/>
  <c r="M22" i="61"/>
  <c r="N22" i="61"/>
  <c r="O22" i="61"/>
  <c r="T22" i="61"/>
  <c r="U22" i="61"/>
  <c r="V22" i="61"/>
  <c r="B23" i="61"/>
  <c r="E23" i="61"/>
  <c r="G23" i="61"/>
  <c r="I23" i="61"/>
  <c r="J23" i="61"/>
  <c r="L23" i="61"/>
  <c r="M23" i="61"/>
  <c r="N23" i="61"/>
  <c r="O23" i="61"/>
  <c r="T23" i="61"/>
  <c r="U23" i="61"/>
  <c r="V23" i="61"/>
  <c r="B24" i="61"/>
  <c r="E24" i="61"/>
  <c r="G24" i="61"/>
  <c r="I24" i="61"/>
  <c r="J24" i="61"/>
  <c r="L24" i="61"/>
  <c r="M24" i="61"/>
  <c r="N24" i="61"/>
  <c r="O24" i="61"/>
  <c r="V24" i="61"/>
  <c r="B25" i="61"/>
  <c r="E25" i="61"/>
  <c r="G25" i="61"/>
  <c r="I25" i="61"/>
  <c r="J25" i="61"/>
  <c r="L25" i="61"/>
  <c r="M25" i="61"/>
  <c r="N25" i="61"/>
  <c r="O25" i="61"/>
  <c r="T25" i="61"/>
  <c r="U25" i="61"/>
  <c r="V25" i="61"/>
  <c r="B26" i="61"/>
  <c r="E26" i="61"/>
  <c r="G26" i="61"/>
  <c r="I26" i="61"/>
  <c r="J26" i="61"/>
  <c r="L26" i="61"/>
  <c r="M26" i="61"/>
  <c r="N26" i="61"/>
  <c r="O26" i="61"/>
  <c r="T26" i="61"/>
  <c r="U26" i="61"/>
  <c r="B27" i="61"/>
  <c r="E27" i="61"/>
  <c r="G27" i="61"/>
  <c r="I27" i="61"/>
  <c r="J27" i="61"/>
  <c r="L27" i="61"/>
  <c r="M27" i="61"/>
  <c r="N27" i="61"/>
  <c r="O27" i="61"/>
  <c r="T27" i="61"/>
  <c r="U27" i="61" s="1"/>
  <c r="B28" i="61"/>
  <c r="E28" i="61"/>
  <c r="G28" i="61"/>
  <c r="I28" i="61"/>
  <c r="J28" i="61"/>
  <c r="L28" i="61"/>
  <c r="M28" i="61"/>
  <c r="N28" i="61"/>
  <c r="O28" i="61"/>
  <c r="B29" i="61"/>
  <c r="E29" i="61"/>
  <c r="G29" i="61"/>
  <c r="I29" i="61"/>
  <c r="J29" i="61"/>
  <c r="L29" i="61"/>
  <c r="M29" i="61"/>
  <c r="N29" i="61"/>
  <c r="O29" i="61"/>
  <c r="B30" i="61"/>
  <c r="E30" i="61"/>
  <c r="G30" i="61"/>
  <c r="I30" i="61"/>
  <c r="J30" i="61"/>
  <c r="L30" i="61"/>
  <c r="M30" i="61"/>
  <c r="N30" i="61"/>
  <c r="O30" i="61"/>
  <c r="B31" i="61"/>
  <c r="E31" i="61"/>
  <c r="G31" i="61"/>
  <c r="I31" i="61"/>
  <c r="J31" i="61"/>
  <c r="L31" i="61"/>
  <c r="M31" i="61"/>
  <c r="N31" i="61"/>
  <c r="O31" i="61"/>
  <c r="B32" i="61"/>
  <c r="E32" i="61"/>
  <c r="G32" i="61"/>
  <c r="I32" i="61"/>
  <c r="J32" i="61"/>
  <c r="L32" i="61"/>
  <c r="M32" i="61"/>
  <c r="N32" i="61"/>
  <c r="O32" i="61"/>
  <c r="B33" i="61"/>
  <c r="E33" i="61"/>
  <c r="G33" i="61"/>
  <c r="I33" i="61"/>
  <c r="J33" i="61"/>
  <c r="L33" i="61"/>
  <c r="M33" i="61"/>
  <c r="N33" i="61"/>
  <c r="O33" i="61"/>
  <c r="B34" i="61"/>
  <c r="E34" i="61"/>
  <c r="G34" i="61"/>
  <c r="I34" i="61"/>
  <c r="J34" i="61"/>
  <c r="L34" i="61"/>
  <c r="M34" i="61"/>
  <c r="N34" i="61"/>
  <c r="O34" i="61"/>
  <c r="K35" i="61"/>
  <c r="O37" i="61"/>
  <c r="A39" i="61"/>
  <c r="A44" i="61"/>
  <c r="A58" i="61"/>
  <c r="B58" i="61"/>
  <c r="C58" i="61"/>
  <c r="D58" i="61"/>
  <c r="A2" i="62"/>
  <c r="C11" i="62"/>
  <c r="A12" i="62"/>
  <c r="B13" i="62"/>
  <c r="B14" i="62"/>
  <c r="B17" i="62"/>
  <c r="E17" i="62"/>
  <c r="G17" i="62"/>
  <c r="I17" i="62"/>
  <c r="J17" i="62"/>
  <c r="L17" i="62"/>
  <c r="M17" i="62"/>
  <c r="T17" i="62"/>
  <c r="U17" i="62" s="1"/>
  <c r="V17" i="62"/>
  <c r="B18" i="62"/>
  <c r="E18" i="62"/>
  <c r="G18" i="62"/>
  <c r="I18" i="62"/>
  <c r="J18" i="62"/>
  <c r="L18" i="62"/>
  <c r="M18" i="62"/>
  <c r="N18" i="62"/>
  <c r="O18" i="62"/>
  <c r="T18" i="62"/>
  <c r="U18" i="62" s="1"/>
  <c r="V18" i="62"/>
  <c r="B19" i="62"/>
  <c r="E19" i="62"/>
  <c r="G19" i="62"/>
  <c r="I19" i="62"/>
  <c r="J19" i="62"/>
  <c r="L19" i="62"/>
  <c r="M19" i="62"/>
  <c r="N19" i="62"/>
  <c r="O19" i="62"/>
  <c r="T19" i="62"/>
  <c r="U19" i="62" s="1"/>
  <c r="V19" i="62"/>
  <c r="B20" i="62"/>
  <c r="E20" i="62"/>
  <c r="G20" i="62"/>
  <c r="I20" i="62"/>
  <c r="J20" i="62"/>
  <c r="L20" i="62"/>
  <c r="M20" i="62"/>
  <c r="N20" i="62"/>
  <c r="O20" i="62"/>
  <c r="T20" i="62"/>
  <c r="U20" i="62" s="1"/>
  <c r="V20" i="62"/>
  <c r="B21" i="62"/>
  <c r="E21" i="62"/>
  <c r="G21" i="62"/>
  <c r="I21" i="62"/>
  <c r="J21" i="62"/>
  <c r="L21" i="62"/>
  <c r="M21" i="62"/>
  <c r="N21" i="62"/>
  <c r="O21" i="62"/>
  <c r="T21" i="62"/>
  <c r="U21" i="62" s="1"/>
  <c r="V21" i="62"/>
  <c r="B22" i="62"/>
  <c r="E22" i="62"/>
  <c r="G22" i="62"/>
  <c r="I22" i="62"/>
  <c r="J22" i="62"/>
  <c r="L22" i="62"/>
  <c r="M22" i="62"/>
  <c r="N22" i="62"/>
  <c r="O22" i="62"/>
  <c r="T22" i="62"/>
  <c r="U22" i="62" s="1"/>
  <c r="V22" i="62"/>
  <c r="B23" i="62"/>
  <c r="E23" i="62"/>
  <c r="G23" i="62"/>
  <c r="I23" i="62"/>
  <c r="J23" i="62"/>
  <c r="L23" i="62"/>
  <c r="M23" i="62"/>
  <c r="N23" i="62"/>
  <c r="O23" i="62"/>
  <c r="T23" i="62"/>
  <c r="U23" i="62" s="1"/>
  <c r="V23" i="62"/>
  <c r="B24" i="62"/>
  <c r="E24" i="62"/>
  <c r="G24" i="62"/>
  <c r="I24" i="62"/>
  <c r="J24" i="62"/>
  <c r="L24" i="62"/>
  <c r="M24" i="62"/>
  <c r="N24" i="62"/>
  <c r="O24" i="62"/>
  <c r="V24" i="62"/>
  <c r="B25" i="62"/>
  <c r="E25" i="62"/>
  <c r="G25" i="62"/>
  <c r="I25" i="62"/>
  <c r="J25" i="62"/>
  <c r="L25" i="62"/>
  <c r="M25" i="62"/>
  <c r="N25" i="62"/>
  <c r="O25" i="62"/>
  <c r="T25" i="62"/>
  <c r="U25" i="62" s="1"/>
  <c r="V25" i="62"/>
  <c r="B26" i="62"/>
  <c r="E26" i="62"/>
  <c r="G26" i="62"/>
  <c r="I26" i="62"/>
  <c r="J26" i="62"/>
  <c r="L26" i="62"/>
  <c r="M26" i="62"/>
  <c r="N26" i="62"/>
  <c r="O26" i="62"/>
  <c r="T26" i="62"/>
  <c r="U26" i="62" s="1"/>
  <c r="B27" i="62"/>
  <c r="E27" i="62"/>
  <c r="G27" i="62"/>
  <c r="I27" i="62"/>
  <c r="J27" i="62"/>
  <c r="L27" i="62"/>
  <c r="M27" i="62"/>
  <c r="N27" i="62"/>
  <c r="O27" i="62"/>
  <c r="T27" i="62"/>
  <c r="U27" i="62" s="1"/>
  <c r="B28" i="62"/>
  <c r="E28" i="62"/>
  <c r="G28" i="62"/>
  <c r="I28" i="62"/>
  <c r="J28" i="62"/>
  <c r="L28" i="62"/>
  <c r="M28" i="62"/>
  <c r="N28" i="62"/>
  <c r="O28" i="62"/>
  <c r="B29" i="62"/>
  <c r="E29" i="62"/>
  <c r="G29" i="62"/>
  <c r="I29" i="62"/>
  <c r="J29" i="62"/>
  <c r="L29" i="62"/>
  <c r="M29" i="62"/>
  <c r="N29" i="62"/>
  <c r="O29" i="62"/>
  <c r="B30" i="62"/>
  <c r="E30" i="62"/>
  <c r="G30" i="62"/>
  <c r="I30" i="62"/>
  <c r="J30" i="62"/>
  <c r="L30" i="62"/>
  <c r="M30" i="62"/>
  <c r="N30" i="62"/>
  <c r="O30" i="62"/>
  <c r="B31" i="62"/>
  <c r="E31" i="62"/>
  <c r="G31" i="62"/>
  <c r="I31" i="62"/>
  <c r="J31" i="62"/>
  <c r="L31" i="62"/>
  <c r="M31" i="62"/>
  <c r="N31" i="62"/>
  <c r="O31" i="62"/>
  <c r="B32" i="62"/>
  <c r="E32" i="62"/>
  <c r="G32" i="62"/>
  <c r="I32" i="62"/>
  <c r="J32" i="62"/>
  <c r="L32" i="62"/>
  <c r="M32" i="62"/>
  <c r="N32" i="62"/>
  <c r="O32" i="62"/>
  <c r="B33" i="62"/>
  <c r="E33" i="62"/>
  <c r="G33" i="62"/>
  <c r="I33" i="62"/>
  <c r="J33" i="62"/>
  <c r="L33" i="62"/>
  <c r="M33" i="62"/>
  <c r="N33" i="62"/>
  <c r="O33" i="62"/>
  <c r="B34" i="62"/>
  <c r="E34" i="62"/>
  <c r="G34" i="62"/>
  <c r="I34" i="62"/>
  <c r="J34" i="62"/>
  <c r="L34" i="62"/>
  <c r="M34" i="62"/>
  <c r="N34" i="62"/>
  <c r="O34" i="62"/>
  <c r="K35" i="62"/>
  <c r="O37" i="62"/>
  <c r="A39" i="62"/>
  <c r="A44" i="62"/>
  <c r="A58" i="62"/>
  <c r="B58" i="62"/>
  <c r="C58" i="62"/>
  <c r="D58" i="62"/>
  <c r="A2" i="63"/>
  <c r="C11" i="63"/>
  <c r="A12" i="63"/>
  <c r="B13" i="63"/>
  <c r="B14" i="63"/>
  <c r="B17" i="63"/>
  <c r="E17" i="63"/>
  <c r="G17" i="63"/>
  <c r="I17" i="63"/>
  <c r="J17" i="63"/>
  <c r="L17" i="63"/>
  <c r="M17" i="63"/>
  <c r="T17" i="63"/>
  <c r="U17" i="63" s="1"/>
  <c r="V17" i="63"/>
  <c r="B18" i="63"/>
  <c r="E18" i="63"/>
  <c r="G18" i="63"/>
  <c r="I18" i="63"/>
  <c r="J18" i="63"/>
  <c r="L18" i="63"/>
  <c r="M18" i="63"/>
  <c r="N18" i="63"/>
  <c r="O18" i="63"/>
  <c r="T18" i="63"/>
  <c r="U18" i="63" s="1"/>
  <c r="V18" i="63"/>
  <c r="B19" i="63"/>
  <c r="E19" i="63"/>
  <c r="G19" i="63"/>
  <c r="I19" i="63"/>
  <c r="J19" i="63"/>
  <c r="L19" i="63"/>
  <c r="M19" i="63"/>
  <c r="N19" i="63"/>
  <c r="O19" i="63"/>
  <c r="T19" i="63"/>
  <c r="U19" i="63" s="1"/>
  <c r="V19" i="63"/>
  <c r="B20" i="63"/>
  <c r="E20" i="63"/>
  <c r="G20" i="63"/>
  <c r="I20" i="63"/>
  <c r="J20" i="63"/>
  <c r="L20" i="63"/>
  <c r="M20" i="63"/>
  <c r="N20" i="63"/>
  <c r="O20" i="63"/>
  <c r="T20" i="63"/>
  <c r="U20" i="63" s="1"/>
  <c r="V20" i="63"/>
  <c r="B21" i="63"/>
  <c r="E21" i="63"/>
  <c r="G21" i="63"/>
  <c r="I21" i="63"/>
  <c r="J21" i="63"/>
  <c r="L21" i="63"/>
  <c r="M21" i="63"/>
  <c r="N21" i="63"/>
  <c r="O21" i="63"/>
  <c r="T21" i="63"/>
  <c r="U21" i="63" s="1"/>
  <c r="V21" i="63"/>
  <c r="B22" i="63"/>
  <c r="E22" i="63"/>
  <c r="G22" i="63"/>
  <c r="I22" i="63"/>
  <c r="J22" i="63"/>
  <c r="L22" i="63"/>
  <c r="M22" i="63"/>
  <c r="N22" i="63"/>
  <c r="O22" i="63"/>
  <c r="T22" i="63"/>
  <c r="U22" i="63" s="1"/>
  <c r="V22" i="63"/>
  <c r="B23" i="63"/>
  <c r="E23" i="63"/>
  <c r="G23" i="63"/>
  <c r="I23" i="63"/>
  <c r="J23" i="63"/>
  <c r="L23" i="63"/>
  <c r="M23" i="63"/>
  <c r="N23" i="63"/>
  <c r="O23" i="63"/>
  <c r="T23" i="63"/>
  <c r="U23" i="63" s="1"/>
  <c r="V23" i="63"/>
  <c r="B24" i="63"/>
  <c r="E24" i="63"/>
  <c r="G24" i="63"/>
  <c r="I24" i="63"/>
  <c r="J24" i="63"/>
  <c r="L24" i="63"/>
  <c r="M24" i="63"/>
  <c r="N24" i="63"/>
  <c r="O24" i="63"/>
  <c r="V24" i="63"/>
  <c r="B25" i="63"/>
  <c r="E25" i="63"/>
  <c r="G25" i="63"/>
  <c r="I25" i="63"/>
  <c r="J25" i="63"/>
  <c r="L25" i="63"/>
  <c r="M25" i="63"/>
  <c r="N25" i="63"/>
  <c r="O25" i="63"/>
  <c r="T25" i="63"/>
  <c r="U25" i="63" s="1"/>
  <c r="V25" i="63"/>
  <c r="B26" i="63"/>
  <c r="E26" i="63"/>
  <c r="G26" i="63"/>
  <c r="I26" i="63"/>
  <c r="J26" i="63"/>
  <c r="L26" i="63"/>
  <c r="M26" i="63"/>
  <c r="N26" i="63"/>
  <c r="O26" i="63"/>
  <c r="T26" i="63"/>
  <c r="U26" i="63" s="1"/>
  <c r="B27" i="63"/>
  <c r="E27" i="63"/>
  <c r="G27" i="63"/>
  <c r="I27" i="63"/>
  <c r="J27" i="63"/>
  <c r="L27" i="63"/>
  <c r="M27" i="63"/>
  <c r="N27" i="63"/>
  <c r="O27" i="63"/>
  <c r="T27" i="63"/>
  <c r="U27" i="63" s="1"/>
  <c r="B28" i="63"/>
  <c r="E28" i="63"/>
  <c r="G28" i="63"/>
  <c r="I28" i="63"/>
  <c r="J28" i="63"/>
  <c r="L28" i="63"/>
  <c r="M28" i="63"/>
  <c r="N28" i="63"/>
  <c r="O28" i="63"/>
  <c r="B29" i="63"/>
  <c r="E29" i="63"/>
  <c r="G29" i="63"/>
  <c r="I29" i="63"/>
  <c r="J29" i="63"/>
  <c r="L29" i="63"/>
  <c r="M29" i="63"/>
  <c r="N29" i="63"/>
  <c r="O29" i="63"/>
  <c r="B30" i="63"/>
  <c r="E30" i="63"/>
  <c r="G30" i="63"/>
  <c r="I30" i="63"/>
  <c r="J30" i="63"/>
  <c r="L30" i="63"/>
  <c r="M30" i="63"/>
  <c r="N30" i="63"/>
  <c r="O30" i="63"/>
  <c r="B31" i="63"/>
  <c r="E31" i="63"/>
  <c r="G31" i="63"/>
  <c r="I31" i="63"/>
  <c r="J31" i="63"/>
  <c r="L31" i="63"/>
  <c r="M31" i="63"/>
  <c r="N31" i="63"/>
  <c r="O31" i="63"/>
  <c r="B32" i="63"/>
  <c r="E32" i="63"/>
  <c r="G32" i="63"/>
  <c r="I32" i="63"/>
  <c r="J32" i="63"/>
  <c r="L32" i="63"/>
  <c r="M32" i="63"/>
  <c r="N32" i="63"/>
  <c r="O32" i="63"/>
  <c r="B33" i="63"/>
  <c r="E33" i="63"/>
  <c r="G33" i="63"/>
  <c r="I33" i="63"/>
  <c r="J33" i="63"/>
  <c r="L33" i="63"/>
  <c r="M33" i="63"/>
  <c r="N33" i="63"/>
  <c r="O33" i="63"/>
  <c r="B34" i="63"/>
  <c r="E34" i="63"/>
  <c r="G34" i="63"/>
  <c r="I34" i="63"/>
  <c r="J34" i="63"/>
  <c r="L34" i="63"/>
  <c r="M34" i="63"/>
  <c r="N34" i="63"/>
  <c r="O34" i="63"/>
  <c r="K35" i="63"/>
  <c r="O37" i="63"/>
  <c r="A39" i="63"/>
  <c r="A44" i="63"/>
  <c r="A58" i="63"/>
  <c r="B58" i="63"/>
  <c r="C58" i="63"/>
  <c r="D58" i="63"/>
  <c r="A2" i="64"/>
  <c r="C11" i="64"/>
  <c r="A12" i="64"/>
  <c r="B13" i="64"/>
  <c r="B14" i="64"/>
  <c r="B17" i="64"/>
  <c r="E17" i="64"/>
  <c r="G17" i="64"/>
  <c r="I17" i="64"/>
  <c r="J17" i="64"/>
  <c r="L17" i="64"/>
  <c r="M17" i="64"/>
  <c r="T17" i="64"/>
  <c r="U17" i="64" s="1"/>
  <c r="V17" i="64"/>
  <c r="B18" i="64"/>
  <c r="E18" i="64"/>
  <c r="G18" i="64"/>
  <c r="I18" i="64"/>
  <c r="J18" i="64"/>
  <c r="L18" i="64"/>
  <c r="M18" i="64"/>
  <c r="N18" i="64"/>
  <c r="O18" i="64"/>
  <c r="T18" i="64"/>
  <c r="U18" i="64" s="1"/>
  <c r="V18" i="64"/>
  <c r="B19" i="64"/>
  <c r="E19" i="64"/>
  <c r="G19" i="64"/>
  <c r="I19" i="64"/>
  <c r="J19" i="64"/>
  <c r="L19" i="64"/>
  <c r="M19" i="64"/>
  <c r="N19" i="64"/>
  <c r="O19" i="64"/>
  <c r="T19" i="64"/>
  <c r="U19" i="64" s="1"/>
  <c r="V19" i="64"/>
  <c r="B20" i="64"/>
  <c r="E20" i="64"/>
  <c r="G20" i="64"/>
  <c r="I20" i="64"/>
  <c r="J20" i="64"/>
  <c r="L20" i="64"/>
  <c r="M20" i="64"/>
  <c r="N20" i="64"/>
  <c r="O20" i="64"/>
  <c r="T20" i="64"/>
  <c r="U20" i="64" s="1"/>
  <c r="V20" i="64"/>
  <c r="B21" i="64"/>
  <c r="E21" i="64"/>
  <c r="G21" i="64"/>
  <c r="I21" i="64"/>
  <c r="J21" i="64"/>
  <c r="L21" i="64"/>
  <c r="M21" i="64"/>
  <c r="N21" i="64"/>
  <c r="O21" i="64"/>
  <c r="T21" i="64"/>
  <c r="U21" i="64" s="1"/>
  <c r="V21" i="64"/>
  <c r="B22" i="64"/>
  <c r="E22" i="64"/>
  <c r="G22" i="64"/>
  <c r="I22" i="64"/>
  <c r="J22" i="64"/>
  <c r="L22" i="64"/>
  <c r="M22" i="64"/>
  <c r="N22" i="64"/>
  <c r="O22" i="64"/>
  <c r="T22" i="64"/>
  <c r="U22" i="64" s="1"/>
  <c r="V22" i="64"/>
  <c r="B23" i="64"/>
  <c r="E23" i="64"/>
  <c r="G23" i="64"/>
  <c r="I23" i="64"/>
  <c r="J23" i="64"/>
  <c r="L23" i="64"/>
  <c r="M23" i="64"/>
  <c r="N23" i="64"/>
  <c r="O23" i="64"/>
  <c r="T23" i="64"/>
  <c r="U23" i="64" s="1"/>
  <c r="V23" i="64"/>
  <c r="B24" i="64"/>
  <c r="E24" i="64"/>
  <c r="G24" i="64"/>
  <c r="I24" i="64"/>
  <c r="J24" i="64"/>
  <c r="L24" i="64"/>
  <c r="M24" i="64"/>
  <c r="N24" i="64"/>
  <c r="O24" i="64"/>
  <c r="V24" i="64"/>
  <c r="B25" i="64"/>
  <c r="E25" i="64"/>
  <c r="G25" i="64"/>
  <c r="I25" i="64"/>
  <c r="J25" i="64"/>
  <c r="L25" i="64"/>
  <c r="M25" i="64"/>
  <c r="N25" i="64"/>
  <c r="O25" i="64"/>
  <c r="T25" i="64"/>
  <c r="U25" i="64" s="1"/>
  <c r="V25" i="64"/>
  <c r="B26" i="64"/>
  <c r="E26" i="64"/>
  <c r="G26" i="64"/>
  <c r="I26" i="64"/>
  <c r="J26" i="64"/>
  <c r="L26" i="64"/>
  <c r="M26" i="64"/>
  <c r="N26" i="64"/>
  <c r="O26" i="64"/>
  <c r="T26" i="64"/>
  <c r="U26" i="64" s="1"/>
  <c r="B27" i="64"/>
  <c r="E27" i="64"/>
  <c r="G27" i="64"/>
  <c r="I27" i="64"/>
  <c r="J27" i="64"/>
  <c r="L27" i="64"/>
  <c r="M27" i="64"/>
  <c r="N27" i="64"/>
  <c r="O27" i="64"/>
  <c r="T27" i="64"/>
  <c r="U27" i="64" s="1"/>
  <c r="B28" i="64"/>
  <c r="E28" i="64"/>
  <c r="G28" i="64"/>
  <c r="I28" i="64"/>
  <c r="J28" i="64"/>
  <c r="L28" i="64"/>
  <c r="M28" i="64"/>
  <c r="N28" i="64"/>
  <c r="O28" i="64"/>
  <c r="B29" i="64"/>
  <c r="E29" i="64"/>
  <c r="G29" i="64"/>
  <c r="I29" i="64"/>
  <c r="J29" i="64"/>
  <c r="L29" i="64"/>
  <c r="M29" i="64"/>
  <c r="N29" i="64"/>
  <c r="O29" i="64"/>
  <c r="B30" i="64"/>
  <c r="E30" i="64"/>
  <c r="G30" i="64"/>
  <c r="I30" i="64"/>
  <c r="J30" i="64"/>
  <c r="L30" i="64"/>
  <c r="M30" i="64"/>
  <c r="N30" i="64"/>
  <c r="O30" i="64"/>
  <c r="B31" i="64"/>
  <c r="E31" i="64"/>
  <c r="G31" i="64"/>
  <c r="I31" i="64"/>
  <c r="J31" i="64"/>
  <c r="L31" i="64"/>
  <c r="M31" i="64"/>
  <c r="N31" i="64"/>
  <c r="O31" i="64"/>
  <c r="B32" i="64"/>
  <c r="E32" i="64"/>
  <c r="G32" i="64"/>
  <c r="I32" i="64"/>
  <c r="J32" i="64"/>
  <c r="L32" i="64"/>
  <c r="M32" i="64"/>
  <c r="N32" i="64"/>
  <c r="O32" i="64"/>
  <c r="B33" i="64"/>
  <c r="E33" i="64"/>
  <c r="G33" i="64"/>
  <c r="I33" i="64"/>
  <c r="J33" i="64"/>
  <c r="L33" i="64"/>
  <c r="M33" i="64"/>
  <c r="N33" i="64"/>
  <c r="O33" i="64"/>
  <c r="B34" i="64"/>
  <c r="E34" i="64"/>
  <c r="G34" i="64"/>
  <c r="I34" i="64"/>
  <c r="J34" i="64"/>
  <c r="L34" i="64"/>
  <c r="M34" i="64"/>
  <c r="N34" i="64"/>
  <c r="O34" i="64"/>
  <c r="K35" i="64"/>
  <c r="O37" i="64"/>
  <c r="A39" i="64"/>
  <c r="A44" i="64"/>
  <c r="A58" i="64"/>
  <c r="B58" i="64"/>
  <c r="C58" i="64"/>
  <c r="D58" i="64"/>
  <c r="AI1" i="100"/>
  <c r="A2" i="100"/>
  <c r="AI2" i="100"/>
  <c r="AI3" i="100"/>
  <c r="AK3" i="100"/>
  <c r="N4" i="100"/>
  <c r="B17" i="100" s="1"/>
  <c r="AI4" i="100"/>
  <c r="AI5" i="100"/>
  <c r="AI6" i="100"/>
  <c r="AI7" i="100"/>
  <c r="AI8" i="100"/>
  <c r="AI9" i="100"/>
  <c r="AI10" i="100"/>
  <c r="C11" i="100"/>
  <c r="AI11" i="100"/>
  <c r="A12" i="100"/>
  <c r="AI12" i="100"/>
  <c r="B13" i="100"/>
  <c r="AI13" i="100"/>
  <c r="B14" i="100"/>
  <c r="AI14" i="100"/>
  <c r="AI15" i="100"/>
  <c r="AI16" i="100"/>
  <c r="G17" i="100"/>
  <c r="I17" i="100"/>
  <c r="L17" i="100"/>
  <c r="M17" i="100"/>
  <c r="AI17" i="100"/>
  <c r="G18" i="100"/>
  <c r="I18" i="100"/>
  <c r="L18" i="100"/>
  <c r="M18" i="100"/>
  <c r="AI18" i="100"/>
  <c r="G19" i="100"/>
  <c r="I19" i="100"/>
  <c r="L19" i="100"/>
  <c r="M19" i="100"/>
  <c r="AI19" i="100"/>
  <c r="G20" i="100"/>
  <c r="I20" i="100"/>
  <c r="L20" i="100"/>
  <c r="M20" i="100"/>
  <c r="AI20" i="100"/>
  <c r="G21" i="100"/>
  <c r="I21" i="100"/>
  <c r="L21" i="100"/>
  <c r="M21" i="100"/>
  <c r="AI21" i="100"/>
  <c r="G22" i="100"/>
  <c r="I22" i="100"/>
  <c r="L22" i="100"/>
  <c r="M22" i="100"/>
  <c r="AI22" i="100"/>
  <c r="B23" i="100"/>
  <c r="E23" i="100"/>
  <c r="G23" i="100"/>
  <c r="I23" i="100"/>
  <c r="J23" i="100"/>
  <c r="L23" i="100"/>
  <c r="M23" i="100"/>
  <c r="N23" i="100"/>
  <c r="O23" i="100"/>
  <c r="AI23" i="100"/>
  <c r="B24" i="100"/>
  <c r="E24" i="100"/>
  <c r="G24" i="100"/>
  <c r="I24" i="100"/>
  <c r="J24" i="100"/>
  <c r="L24" i="100"/>
  <c r="M24" i="100"/>
  <c r="N24" i="100"/>
  <c r="O24" i="100"/>
  <c r="AI24" i="100"/>
  <c r="B25" i="100"/>
  <c r="E25" i="100"/>
  <c r="G25" i="100"/>
  <c r="I25" i="100"/>
  <c r="J25" i="100"/>
  <c r="L25" i="100"/>
  <c r="M25" i="100"/>
  <c r="N25" i="100"/>
  <c r="O25" i="100"/>
  <c r="U25" i="100"/>
  <c r="AI25" i="100"/>
  <c r="B26" i="100"/>
  <c r="E26" i="100"/>
  <c r="G26" i="100"/>
  <c r="I26" i="100"/>
  <c r="J26" i="100"/>
  <c r="L26" i="100"/>
  <c r="M26" i="100"/>
  <c r="N26" i="100"/>
  <c r="O26" i="100"/>
  <c r="U26" i="100"/>
  <c r="AI26" i="100"/>
  <c r="B27" i="100"/>
  <c r="E27" i="100"/>
  <c r="G27" i="100"/>
  <c r="I27" i="100"/>
  <c r="J27" i="100"/>
  <c r="L27" i="100"/>
  <c r="M27" i="100"/>
  <c r="N27" i="100"/>
  <c r="O27" i="100"/>
  <c r="U27" i="100"/>
  <c r="AI27" i="100"/>
  <c r="B28" i="100"/>
  <c r="E28" i="100"/>
  <c r="G28" i="100"/>
  <c r="I28" i="100"/>
  <c r="J28" i="100"/>
  <c r="L28" i="100"/>
  <c r="M28" i="100"/>
  <c r="N28" i="100"/>
  <c r="O28" i="100"/>
  <c r="U28" i="100"/>
  <c r="B29" i="100"/>
  <c r="E29" i="100"/>
  <c r="G29" i="100"/>
  <c r="I29" i="100"/>
  <c r="J29" i="100"/>
  <c r="L29" i="100"/>
  <c r="M29" i="100"/>
  <c r="N29" i="100"/>
  <c r="O29" i="100"/>
  <c r="U29" i="100"/>
  <c r="B30" i="100"/>
  <c r="E30" i="100"/>
  <c r="G30" i="100"/>
  <c r="I30" i="100"/>
  <c r="J30" i="100"/>
  <c r="L30" i="100"/>
  <c r="M30" i="100"/>
  <c r="N30" i="100"/>
  <c r="O30" i="100"/>
  <c r="U30" i="100"/>
  <c r="B31" i="100"/>
  <c r="E31" i="100"/>
  <c r="G31" i="100"/>
  <c r="I31" i="100"/>
  <c r="J31" i="100"/>
  <c r="L31" i="100"/>
  <c r="M31" i="100"/>
  <c r="N31" i="100"/>
  <c r="O31" i="100"/>
  <c r="B32" i="100"/>
  <c r="E32" i="100"/>
  <c r="G32" i="100"/>
  <c r="I32" i="100"/>
  <c r="J32" i="100"/>
  <c r="L32" i="100"/>
  <c r="M32" i="100"/>
  <c r="N32" i="100"/>
  <c r="O32" i="100"/>
  <c r="B33" i="100"/>
  <c r="E33" i="100"/>
  <c r="G33" i="100"/>
  <c r="I33" i="100"/>
  <c r="J33" i="100"/>
  <c r="L33" i="100"/>
  <c r="M33" i="100"/>
  <c r="N33" i="100"/>
  <c r="O33" i="100"/>
  <c r="B34" i="100"/>
  <c r="E34" i="100"/>
  <c r="G34" i="100"/>
  <c r="I34" i="100"/>
  <c r="J34" i="100"/>
  <c r="L34" i="100"/>
  <c r="M34" i="100"/>
  <c r="N34" i="100"/>
  <c r="O34" i="100"/>
  <c r="K35" i="100"/>
  <c r="A39" i="100"/>
  <c r="A44" i="100"/>
  <c r="A58" i="100"/>
  <c r="B58" i="100"/>
  <c r="C58" i="100"/>
  <c r="D58" i="100"/>
  <c r="AI1" i="101"/>
  <c r="A2" i="101"/>
  <c r="AI2" i="101"/>
  <c r="AI3" i="101"/>
  <c r="AK3" i="101"/>
  <c r="AI4" i="101"/>
  <c r="AI5" i="101"/>
  <c r="AI6" i="101"/>
  <c r="AI7" i="101"/>
  <c r="AI8" i="101"/>
  <c r="AI9" i="101"/>
  <c r="AI10" i="101"/>
  <c r="C11" i="101"/>
  <c r="AI11" i="101"/>
  <c r="A12" i="101"/>
  <c r="AI12" i="101"/>
  <c r="B13" i="101"/>
  <c r="AI13" i="101"/>
  <c r="B14" i="101"/>
  <c r="AI14" i="101"/>
  <c r="AI15" i="101"/>
  <c r="AI16" i="101"/>
  <c r="G17" i="101"/>
  <c r="I17" i="101"/>
  <c r="L17" i="101"/>
  <c r="M17" i="101"/>
  <c r="AI17" i="101"/>
  <c r="G18" i="101"/>
  <c r="I18" i="101"/>
  <c r="L18" i="101"/>
  <c r="M18" i="101"/>
  <c r="AI18" i="101"/>
  <c r="B19" i="101"/>
  <c r="E19" i="101"/>
  <c r="G19" i="101"/>
  <c r="I19" i="101"/>
  <c r="J19" i="101"/>
  <c r="L19" i="101"/>
  <c r="M19" i="101"/>
  <c r="N19" i="101"/>
  <c r="O19" i="101"/>
  <c r="AI19" i="101"/>
  <c r="B20" i="101"/>
  <c r="E20" i="101"/>
  <c r="G20" i="101"/>
  <c r="I20" i="101"/>
  <c r="J20" i="101"/>
  <c r="L20" i="101"/>
  <c r="M20" i="101"/>
  <c r="N20" i="101"/>
  <c r="O20" i="101"/>
  <c r="AI20" i="101"/>
  <c r="B21" i="101"/>
  <c r="E21" i="101"/>
  <c r="G21" i="101"/>
  <c r="I21" i="101"/>
  <c r="J21" i="101"/>
  <c r="L21" i="101"/>
  <c r="M21" i="101"/>
  <c r="N21" i="101"/>
  <c r="O21" i="101"/>
  <c r="AI21" i="101"/>
  <c r="B22" i="101"/>
  <c r="E22" i="101"/>
  <c r="G22" i="101"/>
  <c r="I22" i="101"/>
  <c r="J22" i="101"/>
  <c r="L22" i="101"/>
  <c r="M22" i="101"/>
  <c r="N22" i="101"/>
  <c r="O22" i="101"/>
  <c r="AI22" i="101"/>
  <c r="B23" i="101"/>
  <c r="E23" i="101"/>
  <c r="G23" i="101"/>
  <c r="I23" i="101"/>
  <c r="J23" i="101"/>
  <c r="L23" i="101"/>
  <c r="M23" i="101"/>
  <c r="N23" i="101"/>
  <c r="O23" i="101"/>
  <c r="AI23" i="101"/>
  <c r="B24" i="101"/>
  <c r="E24" i="101"/>
  <c r="G24" i="101"/>
  <c r="I24" i="101"/>
  <c r="J24" i="101"/>
  <c r="L24" i="101"/>
  <c r="M24" i="101"/>
  <c r="N24" i="101"/>
  <c r="O24" i="101"/>
  <c r="AI24" i="101"/>
  <c r="B25" i="101"/>
  <c r="E25" i="101"/>
  <c r="G25" i="101"/>
  <c r="I25" i="101"/>
  <c r="J25" i="101"/>
  <c r="L25" i="101"/>
  <c r="M25" i="101"/>
  <c r="N25" i="101"/>
  <c r="O25" i="101"/>
  <c r="U25" i="101"/>
  <c r="AI25" i="101"/>
  <c r="B26" i="101"/>
  <c r="E26" i="101"/>
  <c r="G26" i="101"/>
  <c r="I26" i="101"/>
  <c r="J26" i="101"/>
  <c r="L26" i="101"/>
  <c r="M26" i="101"/>
  <c r="N26" i="101"/>
  <c r="O26" i="101"/>
  <c r="U26" i="101"/>
  <c r="AI26" i="101"/>
  <c r="B27" i="101"/>
  <c r="E27" i="101"/>
  <c r="G27" i="101"/>
  <c r="I27" i="101"/>
  <c r="J27" i="101"/>
  <c r="L27" i="101"/>
  <c r="M27" i="101"/>
  <c r="N27" i="101"/>
  <c r="O27" i="101"/>
  <c r="U27" i="101"/>
  <c r="AI27" i="101"/>
  <c r="B28" i="101"/>
  <c r="E28" i="101"/>
  <c r="G28" i="101"/>
  <c r="I28" i="101"/>
  <c r="J28" i="101"/>
  <c r="L28" i="101"/>
  <c r="M28" i="101"/>
  <c r="N28" i="101"/>
  <c r="O28" i="101"/>
  <c r="U28" i="101"/>
  <c r="B29" i="101"/>
  <c r="E29" i="101"/>
  <c r="G29" i="101"/>
  <c r="I29" i="101"/>
  <c r="J29" i="101"/>
  <c r="L29" i="101"/>
  <c r="M29" i="101"/>
  <c r="N29" i="101"/>
  <c r="O29" i="101"/>
  <c r="U29" i="101"/>
  <c r="B30" i="101"/>
  <c r="E30" i="101"/>
  <c r="G30" i="101"/>
  <c r="I30" i="101"/>
  <c r="J30" i="101"/>
  <c r="L30" i="101"/>
  <c r="M30" i="101"/>
  <c r="N30" i="101"/>
  <c r="O30" i="101"/>
  <c r="U30" i="101"/>
  <c r="B31" i="101"/>
  <c r="E31" i="101"/>
  <c r="G31" i="101"/>
  <c r="I31" i="101"/>
  <c r="J31" i="101"/>
  <c r="L31" i="101"/>
  <c r="M31" i="101"/>
  <c r="N31" i="101"/>
  <c r="O31" i="101"/>
  <c r="B32" i="101"/>
  <c r="E32" i="101"/>
  <c r="G32" i="101"/>
  <c r="I32" i="101"/>
  <c r="J32" i="101"/>
  <c r="L32" i="101"/>
  <c r="M32" i="101"/>
  <c r="N32" i="101"/>
  <c r="O32" i="101"/>
  <c r="B33" i="101"/>
  <c r="E33" i="101"/>
  <c r="G33" i="101"/>
  <c r="I33" i="101"/>
  <c r="J33" i="101"/>
  <c r="L33" i="101"/>
  <c r="M33" i="101"/>
  <c r="N33" i="101"/>
  <c r="O33" i="101"/>
  <c r="B34" i="101"/>
  <c r="E34" i="101"/>
  <c r="G34" i="101"/>
  <c r="I34" i="101"/>
  <c r="J34" i="101"/>
  <c r="L34" i="101"/>
  <c r="M34" i="101"/>
  <c r="N34" i="101"/>
  <c r="O34" i="101"/>
  <c r="K35" i="101"/>
  <c r="A39" i="101"/>
  <c r="A44" i="101"/>
  <c r="A58" i="101"/>
  <c r="B58" i="101"/>
  <c r="C58" i="101"/>
  <c r="D58" i="101"/>
  <c r="AI1" i="102"/>
  <c r="A2" i="102"/>
  <c r="AI2" i="102"/>
  <c r="AI3" i="102"/>
  <c r="AK3" i="102"/>
  <c r="AI4" i="102"/>
  <c r="AI5" i="102"/>
  <c r="AI6" i="102"/>
  <c r="AI7" i="102"/>
  <c r="AI8" i="102"/>
  <c r="AI9" i="102"/>
  <c r="AI10" i="102"/>
  <c r="C11" i="102"/>
  <c r="AI11" i="102"/>
  <c r="A12" i="102"/>
  <c r="AI12" i="102"/>
  <c r="B13" i="102"/>
  <c r="AI13" i="102"/>
  <c r="B14" i="102"/>
  <c r="AI14" i="102"/>
  <c r="AI15" i="102"/>
  <c r="AI16" i="102"/>
  <c r="G17" i="102"/>
  <c r="I17" i="102"/>
  <c r="L17" i="102"/>
  <c r="M17" i="102"/>
  <c r="AI17" i="102"/>
  <c r="G18" i="102"/>
  <c r="I18" i="102"/>
  <c r="L18" i="102"/>
  <c r="M18" i="102"/>
  <c r="AI18" i="102"/>
  <c r="G19" i="102"/>
  <c r="I19" i="102"/>
  <c r="L19" i="102"/>
  <c r="M19" i="102"/>
  <c r="AI19" i="102"/>
  <c r="G20" i="102"/>
  <c r="I20" i="102"/>
  <c r="L20" i="102"/>
  <c r="M20" i="102"/>
  <c r="AI20" i="102"/>
  <c r="B21" i="102"/>
  <c r="E21" i="102"/>
  <c r="G21" i="102"/>
  <c r="I21" i="102"/>
  <c r="J21" i="102"/>
  <c r="L21" i="102"/>
  <c r="M21" i="102"/>
  <c r="N21" i="102"/>
  <c r="O21" i="102"/>
  <c r="AI21" i="102"/>
  <c r="B22" i="102"/>
  <c r="E22" i="102"/>
  <c r="G22" i="102"/>
  <c r="I22" i="102"/>
  <c r="J22" i="102"/>
  <c r="L22" i="102"/>
  <c r="M22" i="102"/>
  <c r="N22" i="102"/>
  <c r="O22" i="102"/>
  <c r="AI22" i="102"/>
  <c r="B23" i="102"/>
  <c r="E23" i="102"/>
  <c r="G23" i="102"/>
  <c r="I23" i="102"/>
  <c r="J23" i="102"/>
  <c r="L23" i="102"/>
  <c r="M23" i="102"/>
  <c r="N23" i="102"/>
  <c r="O23" i="102"/>
  <c r="AI23" i="102"/>
  <c r="B24" i="102"/>
  <c r="E24" i="102"/>
  <c r="G24" i="102"/>
  <c r="I24" i="102"/>
  <c r="J24" i="102"/>
  <c r="L24" i="102"/>
  <c r="M24" i="102"/>
  <c r="N24" i="102"/>
  <c r="O24" i="102"/>
  <c r="AI24" i="102"/>
  <c r="B25" i="102"/>
  <c r="E25" i="102"/>
  <c r="G25" i="102"/>
  <c r="I25" i="102"/>
  <c r="J25" i="102"/>
  <c r="L25" i="102"/>
  <c r="M25" i="102"/>
  <c r="N25" i="102"/>
  <c r="O25" i="102"/>
  <c r="U25" i="102"/>
  <c r="AI25" i="102"/>
  <c r="B26" i="102"/>
  <c r="E26" i="102"/>
  <c r="G26" i="102"/>
  <c r="I26" i="102"/>
  <c r="J26" i="102"/>
  <c r="L26" i="102"/>
  <c r="M26" i="102"/>
  <c r="N26" i="102"/>
  <c r="O26" i="102"/>
  <c r="U26" i="102"/>
  <c r="AI26" i="102"/>
  <c r="B27" i="102"/>
  <c r="E27" i="102"/>
  <c r="G27" i="102"/>
  <c r="I27" i="102"/>
  <c r="J27" i="102"/>
  <c r="L27" i="102"/>
  <c r="M27" i="102"/>
  <c r="N27" i="102"/>
  <c r="O27" i="102"/>
  <c r="U27" i="102"/>
  <c r="AI27" i="102"/>
  <c r="B28" i="102"/>
  <c r="E28" i="102"/>
  <c r="G28" i="102"/>
  <c r="I28" i="102"/>
  <c r="J28" i="102"/>
  <c r="L28" i="102"/>
  <c r="M28" i="102"/>
  <c r="N28" i="102"/>
  <c r="O28" i="102"/>
  <c r="U28" i="102"/>
  <c r="B29" i="102"/>
  <c r="E29" i="102"/>
  <c r="G29" i="102"/>
  <c r="I29" i="102"/>
  <c r="J29" i="102"/>
  <c r="L29" i="102"/>
  <c r="M29" i="102"/>
  <c r="N29" i="102"/>
  <c r="O29" i="102"/>
  <c r="U29" i="102"/>
  <c r="B30" i="102"/>
  <c r="E30" i="102"/>
  <c r="G30" i="102"/>
  <c r="I30" i="102"/>
  <c r="J30" i="102"/>
  <c r="L30" i="102"/>
  <c r="M30" i="102"/>
  <c r="N30" i="102"/>
  <c r="O30" i="102"/>
  <c r="U30" i="102"/>
  <c r="B31" i="102"/>
  <c r="E31" i="102"/>
  <c r="G31" i="102"/>
  <c r="I31" i="102"/>
  <c r="J31" i="102"/>
  <c r="L31" i="102"/>
  <c r="M31" i="102"/>
  <c r="N31" i="102"/>
  <c r="O31" i="102"/>
  <c r="B32" i="102"/>
  <c r="E32" i="102"/>
  <c r="G32" i="102"/>
  <c r="I32" i="102"/>
  <c r="J32" i="102"/>
  <c r="L32" i="102"/>
  <c r="M32" i="102"/>
  <c r="N32" i="102"/>
  <c r="O32" i="102"/>
  <c r="B33" i="102"/>
  <c r="E33" i="102"/>
  <c r="G33" i="102"/>
  <c r="I33" i="102"/>
  <c r="J33" i="102"/>
  <c r="L33" i="102"/>
  <c r="M33" i="102"/>
  <c r="N33" i="102"/>
  <c r="O33" i="102"/>
  <c r="B34" i="102"/>
  <c r="E34" i="102"/>
  <c r="G34" i="102"/>
  <c r="I34" i="102"/>
  <c r="J34" i="102"/>
  <c r="L34" i="102"/>
  <c r="M34" i="102"/>
  <c r="N34" i="102"/>
  <c r="O34" i="102"/>
  <c r="K35" i="102"/>
  <c r="N18" i="102" s="1"/>
  <c r="O18" i="102" s="1"/>
  <c r="A39" i="102"/>
  <c r="A44" i="102"/>
  <c r="A58" i="102"/>
  <c r="B58" i="102"/>
  <c r="C58" i="102"/>
  <c r="D58" i="102"/>
  <c r="AI1" i="103"/>
  <c r="A2" i="103"/>
  <c r="AI2" i="103"/>
  <c r="AI3" i="103"/>
  <c r="AK3" i="103"/>
  <c r="AI4" i="103"/>
  <c r="AI5" i="103"/>
  <c r="AI6" i="103"/>
  <c r="AI7" i="103"/>
  <c r="AI8" i="103"/>
  <c r="AI9" i="103"/>
  <c r="AI10" i="103"/>
  <c r="C11" i="103"/>
  <c r="AI11" i="103"/>
  <c r="A12" i="103"/>
  <c r="AI12" i="103"/>
  <c r="B13" i="103"/>
  <c r="AI13" i="103"/>
  <c r="B14" i="103"/>
  <c r="AI14" i="103"/>
  <c r="AI15" i="103"/>
  <c r="AI16" i="103"/>
  <c r="G17" i="103"/>
  <c r="I17" i="103"/>
  <c r="L17" i="103"/>
  <c r="M17" i="103"/>
  <c r="AI17" i="103"/>
  <c r="G18" i="103"/>
  <c r="I18" i="103"/>
  <c r="L18" i="103"/>
  <c r="M18" i="103"/>
  <c r="AI18" i="103"/>
  <c r="B19" i="103"/>
  <c r="E19" i="103"/>
  <c r="G19" i="103"/>
  <c r="I19" i="103"/>
  <c r="J19" i="103"/>
  <c r="L19" i="103"/>
  <c r="M19" i="103"/>
  <c r="N19" i="103"/>
  <c r="O19" i="103"/>
  <c r="AI19" i="103"/>
  <c r="B20" i="103"/>
  <c r="E20" i="103"/>
  <c r="G20" i="103"/>
  <c r="I20" i="103"/>
  <c r="J20" i="103"/>
  <c r="L20" i="103"/>
  <c r="M20" i="103"/>
  <c r="N20" i="103"/>
  <c r="O20" i="103"/>
  <c r="AI20" i="103"/>
  <c r="B21" i="103"/>
  <c r="E21" i="103"/>
  <c r="G21" i="103"/>
  <c r="I21" i="103"/>
  <c r="J21" i="103"/>
  <c r="L21" i="103"/>
  <c r="M21" i="103"/>
  <c r="N21" i="103"/>
  <c r="O21" i="103"/>
  <c r="AI21" i="103"/>
  <c r="B22" i="103"/>
  <c r="E22" i="103"/>
  <c r="G22" i="103"/>
  <c r="I22" i="103"/>
  <c r="J22" i="103"/>
  <c r="L22" i="103"/>
  <c r="M22" i="103"/>
  <c r="N22" i="103"/>
  <c r="O22" i="103"/>
  <c r="AI22" i="103"/>
  <c r="B23" i="103"/>
  <c r="E23" i="103"/>
  <c r="G23" i="103"/>
  <c r="I23" i="103"/>
  <c r="J23" i="103"/>
  <c r="L23" i="103"/>
  <c r="M23" i="103"/>
  <c r="N23" i="103"/>
  <c r="O23" i="103"/>
  <c r="AI23" i="103"/>
  <c r="B24" i="103"/>
  <c r="E24" i="103"/>
  <c r="G24" i="103"/>
  <c r="I24" i="103"/>
  <c r="J24" i="103"/>
  <c r="L24" i="103"/>
  <c r="M24" i="103"/>
  <c r="N24" i="103"/>
  <c r="O24" i="103"/>
  <c r="AI24" i="103"/>
  <c r="B25" i="103"/>
  <c r="E25" i="103"/>
  <c r="G25" i="103"/>
  <c r="I25" i="103"/>
  <c r="J25" i="103"/>
  <c r="L25" i="103"/>
  <c r="M25" i="103"/>
  <c r="N25" i="103"/>
  <c r="O25" i="103"/>
  <c r="U25" i="103"/>
  <c r="AI25" i="103"/>
  <c r="B26" i="103"/>
  <c r="E26" i="103"/>
  <c r="G26" i="103"/>
  <c r="I26" i="103"/>
  <c r="J26" i="103"/>
  <c r="L26" i="103"/>
  <c r="M26" i="103"/>
  <c r="N26" i="103"/>
  <c r="O26" i="103"/>
  <c r="U26" i="103"/>
  <c r="AI26" i="103"/>
  <c r="B27" i="103"/>
  <c r="E27" i="103"/>
  <c r="G27" i="103"/>
  <c r="I27" i="103"/>
  <c r="J27" i="103"/>
  <c r="L27" i="103"/>
  <c r="M27" i="103"/>
  <c r="N27" i="103"/>
  <c r="O27" i="103"/>
  <c r="U27" i="103"/>
  <c r="AI27" i="103"/>
  <c r="B28" i="103"/>
  <c r="E28" i="103"/>
  <c r="G28" i="103"/>
  <c r="I28" i="103"/>
  <c r="J28" i="103"/>
  <c r="L28" i="103"/>
  <c r="M28" i="103"/>
  <c r="N28" i="103"/>
  <c r="O28" i="103"/>
  <c r="U28" i="103"/>
  <c r="B29" i="103"/>
  <c r="E29" i="103"/>
  <c r="G29" i="103"/>
  <c r="I29" i="103"/>
  <c r="J29" i="103"/>
  <c r="L29" i="103"/>
  <c r="M29" i="103"/>
  <c r="N29" i="103"/>
  <c r="O29" i="103"/>
  <c r="U29" i="103"/>
  <c r="B30" i="103"/>
  <c r="E30" i="103"/>
  <c r="G30" i="103"/>
  <c r="I30" i="103"/>
  <c r="J30" i="103"/>
  <c r="L30" i="103"/>
  <c r="M30" i="103"/>
  <c r="N30" i="103"/>
  <c r="O30" i="103"/>
  <c r="U30" i="103"/>
  <c r="B31" i="103"/>
  <c r="E31" i="103"/>
  <c r="G31" i="103"/>
  <c r="I31" i="103"/>
  <c r="J31" i="103"/>
  <c r="L31" i="103"/>
  <c r="M31" i="103"/>
  <c r="N31" i="103"/>
  <c r="O31" i="103"/>
  <c r="B32" i="103"/>
  <c r="E32" i="103"/>
  <c r="G32" i="103"/>
  <c r="I32" i="103"/>
  <c r="J32" i="103"/>
  <c r="L32" i="103"/>
  <c r="M32" i="103"/>
  <c r="N32" i="103"/>
  <c r="O32" i="103"/>
  <c r="B33" i="103"/>
  <c r="E33" i="103"/>
  <c r="G33" i="103"/>
  <c r="I33" i="103"/>
  <c r="J33" i="103"/>
  <c r="L33" i="103"/>
  <c r="M33" i="103"/>
  <c r="N33" i="103"/>
  <c r="O33" i="103"/>
  <c r="B34" i="103"/>
  <c r="E34" i="103"/>
  <c r="G34" i="103"/>
  <c r="I34" i="103"/>
  <c r="J34" i="103"/>
  <c r="L34" i="103"/>
  <c r="M34" i="103"/>
  <c r="N34" i="103"/>
  <c r="O34" i="103"/>
  <c r="K35" i="103"/>
  <c r="N17" i="103" s="1"/>
  <c r="O17" i="103" s="1"/>
  <c r="A39" i="103"/>
  <c r="A44" i="103"/>
  <c r="A58" i="103"/>
  <c r="B58" i="103"/>
  <c r="C58" i="103"/>
  <c r="D58" i="103"/>
  <c r="AI1" i="104"/>
  <c r="A2" i="104"/>
  <c r="AI2" i="104"/>
  <c r="AI3" i="104"/>
  <c r="AK3" i="104"/>
  <c r="AI4" i="104"/>
  <c r="AI5" i="104"/>
  <c r="AI6" i="104"/>
  <c r="AI7" i="104"/>
  <c r="AI8" i="104"/>
  <c r="AI9" i="104"/>
  <c r="AI10" i="104"/>
  <c r="C11" i="104"/>
  <c r="AI11" i="104"/>
  <c r="A12" i="104"/>
  <c r="AI12" i="104"/>
  <c r="B13" i="104"/>
  <c r="AI13" i="104"/>
  <c r="B14" i="104"/>
  <c r="AI14" i="104"/>
  <c r="AI15" i="104"/>
  <c r="AI16" i="104"/>
  <c r="G17" i="104"/>
  <c r="I17" i="104"/>
  <c r="L17" i="104"/>
  <c r="M17" i="104"/>
  <c r="AI17" i="104"/>
  <c r="G18" i="104"/>
  <c r="I18" i="104"/>
  <c r="L18" i="104"/>
  <c r="M18" i="104"/>
  <c r="AI18" i="104"/>
  <c r="G19" i="104"/>
  <c r="I19" i="104"/>
  <c r="L19" i="104"/>
  <c r="M19" i="104"/>
  <c r="AI19" i="104"/>
  <c r="G20" i="104"/>
  <c r="I20" i="104"/>
  <c r="L20" i="104"/>
  <c r="M20" i="104"/>
  <c r="AI20" i="104"/>
  <c r="G21" i="104"/>
  <c r="I21" i="104"/>
  <c r="L21" i="104"/>
  <c r="M21" i="104"/>
  <c r="AI21" i="104"/>
  <c r="G22" i="104"/>
  <c r="I22" i="104"/>
  <c r="L22" i="104"/>
  <c r="M22" i="104"/>
  <c r="AI22" i="104"/>
  <c r="G23" i="104"/>
  <c r="I23" i="104"/>
  <c r="L23" i="104"/>
  <c r="M23" i="104"/>
  <c r="AI23" i="104"/>
  <c r="B24" i="104"/>
  <c r="E24" i="104"/>
  <c r="G24" i="104"/>
  <c r="I24" i="104"/>
  <c r="J24" i="104"/>
  <c r="L24" i="104"/>
  <c r="M24" i="104"/>
  <c r="N24" i="104"/>
  <c r="O24" i="104"/>
  <c r="AI24" i="104"/>
  <c r="B25" i="104"/>
  <c r="E25" i="104"/>
  <c r="G25" i="104"/>
  <c r="I25" i="104"/>
  <c r="J25" i="104"/>
  <c r="L25" i="104"/>
  <c r="M25" i="104"/>
  <c r="N25" i="104"/>
  <c r="O25" i="104"/>
  <c r="U25" i="104"/>
  <c r="AI25" i="104"/>
  <c r="B26" i="104"/>
  <c r="E26" i="104"/>
  <c r="G26" i="104"/>
  <c r="I26" i="104"/>
  <c r="J26" i="104"/>
  <c r="L26" i="104"/>
  <c r="M26" i="104"/>
  <c r="N26" i="104"/>
  <c r="O26" i="104"/>
  <c r="U26" i="104"/>
  <c r="AI26" i="104"/>
  <c r="B27" i="104"/>
  <c r="E27" i="104"/>
  <c r="G27" i="104"/>
  <c r="I27" i="104"/>
  <c r="J27" i="104"/>
  <c r="L27" i="104"/>
  <c r="M27" i="104"/>
  <c r="N27" i="104"/>
  <c r="O27" i="104"/>
  <c r="U27" i="104"/>
  <c r="AI27" i="104"/>
  <c r="B28" i="104"/>
  <c r="E28" i="104"/>
  <c r="G28" i="104"/>
  <c r="I28" i="104"/>
  <c r="J28" i="104"/>
  <c r="L28" i="104"/>
  <c r="M28" i="104"/>
  <c r="N28" i="104"/>
  <c r="O28" i="104"/>
  <c r="U28" i="104"/>
  <c r="B29" i="104"/>
  <c r="E29" i="104"/>
  <c r="G29" i="104"/>
  <c r="I29" i="104"/>
  <c r="J29" i="104"/>
  <c r="L29" i="104"/>
  <c r="M29" i="104"/>
  <c r="N29" i="104"/>
  <c r="O29" i="104"/>
  <c r="U29" i="104"/>
  <c r="B30" i="104"/>
  <c r="E30" i="104"/>
  <c r="G30" i="104"/>
  <c r="I30" i="104"/>
  <c r="J30" i="104"/>
  <c r="L30" i="104"/>
  <c r="M30" i="104"/>
  <c r="N30" i="104"/>
  <c r="O30" i="104"/>
  <c r="U30" i="104"/>
  <c r="B31" i="104"/>
  <c r="E31" i="104"/>
  <c r="G31" i="104"/>
  <c r="I31" i="104"/>
  <c r="J31" i="104"/>
  <c r="L31" i="104"/>
  <c r="M31" i="104"/>
  <c r="N31" i="104"/>
  <c r="O31" i="104"/>
  <c r="B32" i="104"/>
  <c r="E32" i="104"/>
  <c r="G32" i="104"/>
  <c r="I32" i="104"/>
  <c r="J32" i="104"/>
  <c r="L32" i="104"/>
  <c r="M32" i="104"/>
  <c r="N32" i="104"/>
  <c r="O32" i="104"/>
  <c r="B33" i="104"/>
  <c r="E33" i="104"/>
  <c r="G33" i="104"/>
  <c r="I33" i="104"/>
  <c r="J33" i="104"/>
  <c r="L33" i="104"/>
  <c r="M33" i="104"/>
  <c r="N33" i="104"/>
  <c r="O33" i="104"/>
  <c r="B34" i="104"/>
  <c r="E34" i="104"/>
  <c r="G34" i="104"/>
  <c r="I34" i="104"/>
  <c r="J34" i="104"/>
  <c r="L34" i="104"/>
  <c r="M34" i="104"/>
  <c r="N34" i="104"/>
  <c r="O34" i="104"/>
  <c r="K35" i="104"/>
  <c r="N19" i="104" s="1"/>
  <c r="O19" i="104" s="1"/>
  <c r="A39" i="104"/>
  <c r="A44" i="104"/>
  <c r="A58" i="104"/>
  <c r="B58" i="104"/>
  <c r="C58" i="104"/>
  <c r="D58" i="104"/>
  <c r="AI1" i="105"/>
  <c r="AK3" i="105" s="1"/>
  <c r="A2" i="105"/>
  <c r="AI2" i="105"/>
  <c r="AI3" i="105"/>
  <c r="AI4" i="105"/>
  <c r="AI5" i="105"/>
  <c r="AI6" i="105"/>
  <c r="AI7" i="105"/>
  <c r="AI8" i="105"/>
  <c r="AI9" i="105"/>
  <c r="AI10" i="105"/>
  <c r="C11" i="105"/>
  <c r="AI11" i="105"/>
  <c r="A12" i="105"/>
  <c r="AI12" i="105"/>
  <c r="B13" i="105"/>
  <c r="AI13" i="105"/>
  <c r="B14" i="105"/>
  <c r="AI14" i="105"/>
  <c r="AI15" i="105"/>
  <c r="AI16" i="105"/>
  <c r="G17" i="105"/>
  <c r="I17" i="105"/>
  <c r="L17" i="105"/>
  <c r="M17" i="105"/>
  <c r="AI17" i="105"/>
  <c r="G18" i="105"/>
  <c r="I18" i="105"/>
  <c r="L18" i="105"/>
  <c r="M18" i="105"/>
  <c r="AI18" i="105"/>
  <c r="G19" i="105"/>
  <c r="I19" i="105"/>
  <c r="L19" i="105"/>
  <c r="M19" i="105"/>
  <c r="AI19" i="105"/>
  <c r="G20" i="105"/>
  <c r="I20" i="105"/>
  <c r="L20" i="105"/>
  <c r="M20" i="105"/>
  <c r="AI20" i="105"/>
  <c r="G21" i="105"/>
  <c r="I21" i="105"/>
  <c r="L21" i="105"/>
  <c r="M21" i="105"/>
  <c r="AI21" i="105"/>
  <c r="G22" i="105"/>
  <c r="I22" i="105"/>
  <c r="L22" i="105"/>
  <c r="M22" i="105"/>
  <c r="AI22" i="105"/>
  <c r="G23" i="105"/>
  <c r="I23" i="105"/>
  <c r="L23" i="105"/>
  <c r="M23" i="105"/>
  <c r="AI23" i="105"/>
  <c r="G24" i="105"/>
  <c r="I24" i="105"/>
  <c r="L24" i="105"/>
  <c r="M24" i="105"/>
  <c r="AI24" i="105"/>
  <c r="B25" i="105"/>
  <c r="E25" i="105"/>
  <c r="G25" i="105"/>
  <c r="I25" i="105"/>
  <c r="J25" i="105"/>
  <c r="L25" i="105"/>
  <c r="M25" i="105"/>
  <c r="N25" i="105"/>
  <c r="O25" i="105"/>
  <c r="U25" i="105"/>
  <c r="AI25" i="105"/>
  <c r="B26" i="105"/>
  <c r="E26" i="105"/>
  <c r="G26" i="105"/>
  <c r="I26" i="105"/>
  <c r="J26" i="105"/>
  <c r="L26" i="105"/>
  <c r="M26" i="105"/>
  <c r="N26" i="105"/>
  <c r="O26" i="105"/>
  <c r="U26" i="105"/>
  <c r="AI26" i="105"/>
  <c r="B27" i="105"/>
  <c r="E27" i="105"/>
  <c r="G27" i="105"/>
  <c r="I27" i="105"/>
  <c r="J27" i="105"/>
  <c r="L27" i="105"/>
  <c r="M27" i="105"/>
  <c r="N27" i="105"/>
  <c r="O27" i="105"/>
  <c r="U27" i="105"/>
  <c r="AI27" i="105"/>
  <c r="B28" i="105"/>
  <c r="E28" i="105"/>
  <c r="G28" i="105"/>
  <c r="I28" i="105"/>
  <c r="J28" i="105"/>
  <c r="L28" i="105"/>
  <c r="M28" i="105"/>
  <c r="N28" i="105"/>
  <c r="O28" i="105"/>
  <c r="U28" i="105"/>
  <c r="B29" i="105"/>
  <c r="E29" i="105"/>
  <c r="G29" i="105"/>
  <c r="I29" i="105"/>
  <c r="J29" i="105"/>
  <c r="L29" i="105"/>
  <c r="M29" i="105"/>
  <c r="N29" i="105"/>
  <c r="O29" i="105"/>
  <c r="U29" i="105"/>
  <c r="B30" i="105"/>
  <c r="E30" i="105"/>
  <c r="G30" i="105"/>
  <c r="I30" i="105"/>
  <c r="J30" i="105"/>
  <c r="L30" i="105"/>
  <c r="M30" i="105"/>
  <c r="N30" i="105"/>
  <c r="O30" i="105"/>
  <c r="U30" i="105"/>
  <c r="B31" i="105"/>
  <c r="E31" i="105"/>
  <c r="G31" i="105"/>
  <c r="I31" i="105"/>
  <c r="J31" i="105"/>
  <c r="L31" i="105"/>
  <c r="M31" i="105"/>
  <c r="N31" i="105"/>
  <c r="O31" i="105"/>
  <c r="B32" i="105"/>
  <c r="E32" i="105"/>
  <c r="G32" i="105"/>
  <c r="I32" i="105"/>
  <c r="J32" i="105"/>
  <c r="L32" i="105"/>
  <c r="M32" i="105"/>
  <c r="N32" i="105"/>
  <c r="O32" i="105"/>
  <c r="B33" i="105"/>
  <c r="E33" i="105"/>
  <c r="G33" i="105"/>
  <c r="I33" i="105"/>
  <c r="J33" i="105"/>
  <c r="L33" i="105"/>
  <c r="M33" i="105"/>
  <c r="N33" i="105"/>
  <c r="O33" i="105"/>
  <c r="B34" i="105"/>
  <c r="E34" i="105"/>
  <c r="G34" i="105"/>
  <c r="I34" i="105"/>
  <c r="J34" i="105"/>
  <c r="L34" i="105"/>
  <c r="M34" i="105"/>
  <c r="N34" i="105"/>
  <c r="O34" i="105"/>
  <c r="K35" i="105"/>
  <c r="A39" i="105"/>
  <c r="A44" i="105"/>
  <c r="A58" i="105"/>
  <c r="B58" i="105"/>
  <c r="C58" i="105"/>
  <c r="D58" i="105"/>
  <c r="K29" i="36"/>
  <c r="M13" i="36" s="1"/>
  <c r="K29" i="38"/>
  <c r="L17" i="40"/>
  <c r="M17" i="40" s="1"/>
  <c r="L18" i="40"/>
  <c r="M18" i="40" s="1"/>
  <c r="L23" i="36"/>
  <c r="M23" i="36" s="1"/>
  <c r="L17" i="36"/>
  <c r="M17" i="36" s="1"/>
  <c r="L18" i="36"/>
  <c r="M18" i="36" s="1"/>
  <c r="L19" i="36"/>
  <c r="M19" i="36" s="1"/>
  <c r="L20" i="36"/>
  <c r="M20" i="36" s="1"/>
  <c r="L21" i="36"/>
  <c r="M21" i="36" s="1"/>
  <c r="L22" i="36"/>
  <c r="M22" i="36" s="1"/>
  <c r="L17" i="38"/>
  <c r="M17" i="38" s="1"/>
  <c r="L18" i="38"/>
  <c r="M18" i="38" s="1"/>
  <c r="L19" i="38"/>
  <c r="M19" i="38" s="1"/>
  <c r="L20" i="38"/>
  <c r="M20" i="38" s="1"/>
  <c r="L21" i="38"/>
  <c r="M21" i="38" s="1"/>
  <c r="L22" i="38"/>
  <c r="M22" i="38" s="1"/>
  <c r="K29" i="40"/>
  <c r="M13" i="40" s="1"/>
  <c r="L18" i="54"/>
  <c r="M18" i="54" s="1"/>
  <c r="L22" i="44"/>
  <c r="M22" i="44" s="1"/>
  <c r="L21" i="44"/>
  <c r="M21" i="44" s="1"/>
  <c r="L20" i="44"/>
  <c r="M20" i="44" s="1"/>
  <c r="L19" i="44"/>
  <c r="M19" i="44" s="1"/>
  <c r="L18" i="44"/>
  <c r="M18" i="44" s="1"/>
  <c r="L18" i="43"/>
  <c r="M18" i="43" s="1"/>
  <c r="L24" i="35"/>
  <c r="M24" i="35" s="1"/>
  <c r="L22" i="35"/>
  <c r="M22" i="35" s="1"/>
  <c r="L21" i="35"/>
  <c r="M21" i="35" s="1"/>
  <c r="L20" i="35"/>
  <c r="M20" i="35" s="1"/>
  <c r="L19" i="35"/>
  <c r="M19" i="35" s="1"/>
  <c r="L18" i="35"/>
  <c r="M18" i="35" s="1"/>
  <c r="L17" i="37"/>
  <c r="M17" i="37" s="1"/>
  <c r="L18" i="37"/>
  <c r="M18" i="37" s="1"/>
  <c r="K29" i="37"/>
  <c r="M13" i="37" s="1"/>
  <c r="L17" i="39"/>
  <c r="M17" i="39" s="1"/>
  <c r="L18" i="39"/>
  <c r="M18" i="39" s="1"/>
  <c r="L19" i="39"/>
  <c r="M19" i="39" s="1"/>
  <c r="L20" i="39"/>
  <c r="M20" i="39" s="1"/>
  <c r="K29" i="39"/>
  <c r="M12" i="39" s="1"/>
  <c r="E20" i="102"/>
  <c r="E18" i="102"/>
  <c r="J18" i="101"/>
  <c r="J20" i="102"/>
  <c r="J19" i="102"/>
  <c r="J18" i="102"/>
  <c r="J17" i="102"/>
  <c r="K29" i="47"/>
  <c r="M13" i="47" s="1"/>
  <c r="K29" i="45"/>
  <c r="L17" i="44"/>
  <c r="M17" i="44" s="1"/>
  <c r="K29" i="44"/>
  <c r="M12" i="44" s="1"/>
  <c r="L17" i="41"/>
  <c r="M17" i="41" s="1"/>
  <c r="M29" i="41" s="1"/>
  <c r="M30" i="41" s="1"/>
  <c r="M38" i="41" s="1"/>
  <c r="K29" i="41"/>
  <c r="L17" i="35"/>
  <c r="M17" i="35" s="1"/>
  <c r="B17" i="105"/>
  <c r="E17" i="103"/>
  <c r="N21" i="104"/>
  <c r="O21" i="104" s="1"/>
  <c r="B24" i="105"/>
  <c r="B20" i="105"/>
  <c r="L17" i="46"/>
  <c r="M17" i="46" s="1"/>
  <c r="M29" i="46" s="1"/>
  <c r="M30" i="46" s="1"/>
  <c r="M38" i="46" s="1"/>
  <c r="V22" i="46" s="1"/>
  <c r="V23" i="46" s="1"/>
  <c r="K29" i="46"/>
  <c r="M13" i="46" s="1"/>
  <c r="E18" i="104"/>
  <c r="M14" i="50"/>
  <c r="K29" i="42"/>
  <c r="M12" i="42" s="1"/>
  <c r="K29" i="35"/>
  <c r="M13" i="35" s="1"/>
  <c r="L17" i="48"/>
  <c r="M17" i="48" s="1"/>
  <c r="M29" i="48" s="1"/>
  <c r="M30" i="48" s="1"/>
  <c r="M38" i="48" s="1"/>
  <c r="K29" i="48"/>
  <c r="M13" i="48" s="1"/>
  <c r="M14" i="47"/>
  <c r="O14" i="63"/>
  <c r="L17" i="45"/>
  <c r="M17" i="45" s="1"/>
  <c r="M29" i="45" s="1"/>
  <c r="M30" i="45" s="1"/>
  <c r="M38" i="45" s="1"/>
  <c r="M35" i="61"/>
  <c r="O12" i="61" s="1"/>
  <c r="I35" i="61"/>
  <c r="O13" i="61" s="1"/>
  <c r="K29" i="49"/>
  <c r="M12" i="49" s="1"/>
  <c r="M35" i="62"/>
  <c r="O12" i="62" s="1"/>
  <c r="O14" i="61"/>
  <c r="K29" i="54"/>
  <c r="M13" i="54" s="1"/>
  <c r="L17" i="43"/>
  <c r="M17" i="43" s="1"/>
  <c r="L17" i="54"/>
  <c r="M17" i="54" s="1"/>
  <c r="M35" i="63"/>
  <c r="O12" i="63" s="1"/>
  <c r="O14" i="62"/>
  <c r="L23" i="35"/>
  <c r="M23" i="35" s="1"/>
  <c r="E17" i="105"/>
  <c r="J20" i="105"/>
  <c r="J24" i="105"/>
  <c r="M13" i="38"/>
  <c r="M12" i="38"/>
  <c r="K29" i="43"/>
  <c r="M13" i="43" s="1"/>
  <c r="M12" i="54"/>
  <c r="M13" i="44"/>
  <c r="M12" i="47"/>
  <c r="M12" i="40"/>
  <c r="J17" i="104"/>
  <c r="N17" i="102"/>
  <c r="O17" i="102" s="1"/>
  <c r="N20" i="102"/>
  <c r="O20" i="102" s="1"/>
  <c r="E24" i="105"/>
  <c r="K29" i="50"/>
  <c r="M12" i="50" s="1"/>
  <c r="E19" i="105"/>
  <c r="E21" i="105"/>
  <c r="B23" i="105"/>
  <c r="B21" i="105"/>
  <c r="B19" i="105"/>
  <c r="J17" i="105"/>
  <c r="B18" i="105"/>
  <c r="J19" i="105"/>
  <c r="J21" i="105"/>
  <c r="J23" i="105"/>
  <c r="E18" i="105"/>
  <c r="E22" i="105"/>
  <c r="B23" i="104"/>
  <c r="J22" i="104"/>
  <c r="E20" i="104"/>
  <c r="N18" i="103"/>
  <c r="O18" i="103" s="1"/>
  <c r="O14" i="101"/>
  <c r="E21" i="104"/>
  <c r="E20" i="105"/>
  <c r="J22" i="105"/>
  <c r="J18" i="105"/>
  <c r="B22" i="105"/>
  <c r="E23" i="105"/>
  <c r="M12" i="45"/>
  <c r="M13" i="45"/>
  <c r="M35" i="102"/>
  <c r="O12" i="102" s="1"/>
  <c r="M12" i="43"/>
  <c r="U31" i="104" l="1"/>
  <c r="O14" i="102"/>
  <c r="M35" i="100"/>
  <c r="O12" i="100" s="1"/>
  <c r="N17" i="64"/>
  <c r="O17" i="64" s="1"/>
  <c r="O35" i="64" s="1"/>
  <c r="O36" i="64" s="1"/>
  <c r="O44" i="64" s="1"/>
  <c r="N18" i="104"/>
  <c r="O18" i="104" s="1"/>
  <c r="M13" i="49"/>
  <c r="M12" i="36"/>
  <c r="L17" i="50"/>
  <c r="M17" i="50" s="1"/>
  <c r="M29" i="50" s="1"/>
  <c r="M30" i="50" s="1"/>
  <c r="M38" i="50" s="1"/>
  <c r="S29" i="35"/>
  <c r="S29" i="39"/>
  <c r="N22" i="104"/>
  <c r="O22" i="104" s="1"/>
  <c r="M12" i="37"/>
  <c r="N23" i="104"/>
  <c r="O23" i="104" s="1"/>
  <c r="U31" i="103"/>
  <c r="I35" i="102"/>
  <c r="O13" i="102" s="1"/>
  <c r="U31" i="102"/>
  <c r="N17" i="63"/>
  <c r="O17" i="63" s="1"/>
  <c r="O35" i="63" s="1"/>
  <c r="O36" i="63" s="1"/>
  <c r="O44" i="63" s="1"/>
  <c r="X22" i="63" s="1"/>
  <c r="N17" i="62"/>
  <c r="O17" i="62" s="1"/>
  <c r="O35" i="62" s="1"/>
  <c r="O36" i="62" s="1"/>
  <c r="O44" i="62" s="1"/>
  <c r="X22" i="62" s="1"/>
  <c r="U31" i="105"/>
  <c r="U35" i="64"/>
  <c r="S29" i="38"/>
  <c r="N17" i="104"/>
  <c r="O17" i="104" s="1"/>
  <c r="N20" i="104"/>
  <c r="O20" i="104" s="1"/>
  <c r="M29" i="36"/>
  <c r="M30" i="36" s="1"/>
  <c r="M38" i="36" s="1"/>
  <c r="V22" i="36" s="1"/>
  <c r="S29" i="40"/>
  <c r="V22" i="41"/>
  <c r="V23" i="41" s="1"/>
  <c r="V29" i="41"/>
  <c r="V29" i="47"/>
  <c r="S29" i="36"/>
  <c r="M29" i="38"/>
  <c r="M30" i="38" s="1"/>
  <c r="M38" i="38" s="1"/>
  <c r="V22" i="38" s="1"/>
  <c r="V23" i="38" s="1"/>
  <c r="M29" i="40"/>
  <c r="M30" i="40" s="1"/>
  <c r="M38" i="40" s="1"/>
  <c r="S29" i="37"/>
  <c r="U35" i="61"/>
  <c r="V23" i="42"/>
  <c r="M29" i="43"/>
  <c r="M30" i="43" s="1"/>
  <c r="M38" i="43" s="1"/>
  <c r="M13" i="39"/>
  <c r="M12" i="48"/>
  <c r="O14" i="104"/>
  <c r="I35" i="63"/>
  <c r="O13" i="63" s="1"/>
  <c r="O35" i="103"/>
  <c r="O36" i="103" s="1"/>
  <c r="O44" i="103" s="1"/>
  <c r="U32" i="103" s="1"/>
  <c r="M13" i="50"/>
  <c r="M29" i="35"/>
  <c r="M30" i="35" s="1"/>
  <c r="M38" i="35" s="1"/>
  <c r="V22" i="35" s="1"/>
  <c r="V23" i="35" s="1"/>
  <c r="O14" i="103"/>
  <c r="U31" i="101"/>
  <c r="U35" i="63"/>
  <c r="X23" i="63" s="1"/>
  <c r="M12" i="46"/>
  <c r="M13" i="42"/>
  <c r="U31" i="100"/>
  <c r="O14" i="100"/>
  <c r="I35" i="62"/>
  <c r="O13" i="62" s="1"/>
  <c r="N17" i="61"/>
  <c r="O17" i="61" s="1"/>
  <c r="O35" i="61" s="1"/>
  <c r="O36" i="61" s="1"/>
  <c r="O44" i="61" s="1"/>
  <c r="X22" i="61" s="1"/>
  <c r="J17" i="100"/>
  <c r="J20" i="100"/>
  <c r="B18" i="100"/>
  <c r="E21" i="100"/>
  <c r="B22" i="100"/>
  <c r="J19" i="100"/>
  <c r="E22" i="100"/>
  <c r="E20" i="100"/>
  <c r="B19" i="100"/>
  <c r="J18" i="100"/>
  <c r="E17" i="100"/>
  <c r="E19" i="100"/>
  <c r="J22" i="100"/>
  <c r="B21" i="100"/>
  <c r="B20" i="100"/>
  <c r="J21" i="100"/>
  <c r="E18" i="100"/>
  <c r="V22" i="45"/>
  <c r="V29" i="45"/>
  <c r="V22" i="48"/>
  <c r="V23" i="48" s="1"/>
  <c r="V29" i="48"/>
  <c r="V23" i="45"/>
  <c r="V22" i="40"/>
  <c r="V23" i="40" s="1"/>
  <c r="V29" i="40"/>
  <c r="V29" i="36"/>
  <c r="V22" i="43"/>
  <c r="V23" i="43" s="1"/>
  <c r="V29" i="43"/>
  <c r="X22" i="64"/>
  <c r="X35" i="64"/>
  <c r="M29" i="39"/>
  <c r="M30" i="39" s="1"/>
  <c r="M38" i="39" s="1"/>
  <c r="V22" i="39" s="1"/>
  <c r="M29" i="37"/>
  <c r="M30" i="37" s="1"/>
  <c r="M38" i="37" s="1"/>
  <c r="N21" i="105"/>
  <c r="O21" i="105" s="1"/>
  <c r="N19" i="105"/>
  <c r="O19" i="105" s="1"/>
  <c r="N23" i="105"/>
  <c r="O23" i="105" s="1"/>
  <c r="N22" i="105"/>
  <c r="O22" i="105" s="1"/>
  <c r="N18" i="105"/>
  <c r="O18" i="105" s="1"/>
  <c r="N17" i="105"/>
  <c r="O17" i="105" s="1"/>
  <c r="N24" i="105"/>
  <c r="O24" i="105" s="1"/>
  <c r="N20" i="105"/>
  <c r="O20" i="105" s="1"/>
  <c r="B21" i="104"/>
  <c r="E23" i="104"/>
  <c r="B20" i="104"/>
  <c r="J21" i="104"/>
  <c r="E17" i="104"/>
  <c r="B22" i="104"/>
  <c r="B19" i="104"/>
  <c r="B18" i="104"/>
  <c r="J20" i="104"/>
  <c r="B17" i="104"/>
  <c r="E22" i="104"/>
  <c r="J23" i="104"/>
  <c r="J18" i="103"/>
  <c r="E18" i="103"/>
  <c r="J17" i="103"/>
  <c r="N18" i="101"/>
  <c r="O18" i="101" s="1"/>
  <c r="N17" i="101"/>
  <c r="O17" i="101" s="1"/>
  <c r="E17" i="101"/>
  <c r="B18" i="101"/>
  <c r="B17" i="101"/>
  <c r="U35" i="62"/>
  <c r="J19" i="104"/>
  <c r="J18" i="104"/>
  <c r="E19" i="104"/>
  <c r="N19" i="102"/>
  <c r="O19" i="102" s="1"/>
  <c r="O35" i="102" s="1"/>
  <c r="O36" i="102" s="1"/>
  <c r="O44" i="102" s="1"/>
  <c r="U32" i="102" s="1"/>
  <c r="B17" i="103"/>
  <c r="B18" i="103"/>
  <c r="M29" i="54"/>
  <c r="M30" i="54" s="1"/>
  <c r="M38" i="54" s="1"/>
  <c r="M12" i="35"/>
  <c r="E18" i="101"/>
  <c r="M12" i="41"/>
  <c r="M13" i="41"/>
  <c r="M29" i="44"/>
  <c r="M30" i="44" s="1"/>
  <c r="M38" i="44" s="1"/>
  <c r="V22" i="44" s="1"/>
  <c r="V23" i="44" s="1"/>
  <c r="J17" i="101"/>
  <c r="O14" i="105"/>
  <c r="M35" i="105"/>
  <c r="O12" i="105" s="1"/>
  <c r="I35" i="105"/>
  <c r="O13" i="105" s="1"/>
  <c r="M35" i="104"/>
  <c r="O12" i="104" s="1"/>
  <c r="M35" i="103"/>
  <c r="O12" i="103" s="1"/>
  <c r="I35" i="103"/>
  <c r="O13" i="103" s="1"/>
  <c r="B17" i="102"/>
  <c r="E19" i="102"/>
  <c r="E17" i="102"/>
  <c r="B20" i="102"/>
  <c r="B19" i="102"/>
  <c r="B18" i="102"/>
  <c r="M35" i="101"/>
  <c r="O12" i="101" s="1"/>
  <c r="I35" i="101"/>
  <c r="O13" i="101" s="1"/>
  <c r="N17" i="100"/>
  <c r="O17" i="100" s="1"/>
  <c r="N22" i="100"/>
  <c r="O22" i="100" s="1"/>
  <c r="N20" i="100"/>
  <c r="O20" i="100" s="1"/>
  <c r="N18" i="100"/>
  <c r="O18" i="100" s="1"/>
  <c r="N21" i="100"/>
  <c r="O21" i="100" s="1"/>
  <c r="N19" i="100"/>
  <c r="O19" i="100" s="1"/>
  <c r="O14" i="64"/>
  <c r="M35" i="64"/>
  <c r="O12" i="64" s="1"/>
  <c r="V29" i="49"/>
  <c r="V29" i="42"/>
  <c r="V29" i="46"/>
  <c r="I35" i="104"/>
  <c r="O13" i="104" s="1"/>
  <c r="I35" i="100"/>
  <c r="O13" i="100" s="1"/>
  <c r="I35" i="64"/>
  <c r="O13" i="64" s="1"/>
  <c r="V22" i="50" l="1"/>
  <c r="V23" i="50" s="1"/>
  <c r="V29" i="50"/>
  <c r="V23" i="39"/>
  <c r="X23" i="64"/>
  <c r="V29" i="38"/>
  <c r="O35" i="104"/>
  <c r="O36" i="104" s="1"/>
  <c r="O44" i="104" s="1"/>
  <c r="U32" i="104" s="1"/>
  <c r="X23" i="61"/>
  <c r="X35" i="61"/>
  <c r="V29" i="35"/>
  <c r="V23" i="36"/>
  <c r="X35" i="63"/>
  <c r="O35" i="100"/>
  <c r="O36" i="100" s="1"/>
  <c r="O44" i="100" s="1"/>
  <c r="U32" i="100" s="1"/>
  <c r="O35" i="105"/>
  <c r="O36" i="105" s="1"/>
  <c r="O44" i="105" s="1"/>
  <c r="U32" i="105" s="1"/>
  <c r="V29" i="44"/>
  <c r="V22" i="54"/>
  <c r="V23" i="54" s="1"/>
  <c r="V29" i="54"/>
  <c r="V29" i="39"/>
  <c r="X35" i="62"/>
  <c r="X23" i="62"/>
  <c r="O35" i="101"/>
  <c r="O36" i="101" s="1"/>
  <c r="O44" i="101" s="1"/>
  <c r="U32" i="101" s="1"/>
  <c r="V22" i="37"/>
  <c r="V23" i="37" s="1"/>
  <c r="V29" i="37"/>
  <c r="T51" i="102"/>
  <c r="T53" i="102"/>
  <c r="C45" i="64"/>
  <c r="R46" i="38"/>
  <c r="R46" i="43"/>
  <c r="U49" i="103"/>
  <c r="R46" i="47"/>
  <c r="R46" i="39"/>
  <c r="T53" i="104"/>
  <c r="R45" i="36"/>
  <c r="R45" i="50"/>
  <c r="S43" i="48"/>
  <c r="C39" i="36"/>
  <c r="R46" i="48"/>
  <c r="R45" i="41"/>
  <c r="R46" i="45"/>
  <c r="S43" i="45"/>
  <c r="U49" i="64"/>
  <c r="R45" i="48"/>
  <c r="T51" i="100"/>
  <c r="T52" i="101"/>
  <c r="T53" i="64"/>
  <c r="C39" i="47"/>
  <c r="U49" i="100"/>
  <c r="S43" i="50"/>
  <c r="S43" i="43"/>
  <c r="T51" i="103"/>
  <c r="R47" i="38"/>
  <c r="C39" i="44"/>
  <c r="C45" i="63"/>
  <c r="R47" i="45"/>
  <c r="C39" i="54"/>
  <c r="C45" i="62"/>
  <c r="R46" i="35"/>
  <c r="T51" i="64"/>
  <c r="R47" i="46"/>
  <c r="S43" i="42"/>
  <c r="R46" i="44"/>
  <c r="R46" i="36"/>
  <c r="T52" i="103"/>
  <c r="R46" i="46"/>
  <c r="T51" i="63"/>
  <c r="C39" i="38"/>
  <c r="S43" i="40"/>
  <c r="U49" i="105"/>
  <c r="R45" i="35"/>
  <c r="R47" i="39"/>
  <c r="R45" i="38"/>
  <c r="R46" i="54"/>
  <c r="T53" i="61"/>
  <c r="C39" i="42"/>
  <c r="R46" i="42"/>
  <c r="C45" i="104"/>
  <c r="S43" i="35"/>
  <c r="C45" i="103"/>
  <c r="T53" i="100"/>
  <c r="R47" i="42"/>
  <c r="R45" i="45"/>
  <c r="S43" i="44"/>
  <c r="R47" i="43"/>
  <c r="C45" i="100"/>
  <c r="R45" i="54"/>
  <c r="C45" i="61"/>
  <c r="T52" i="64"/>
  <c r="R45" i="40"/>
  <c r="T52" i="62"/>
  <c r="R46" i="49"/>
  <c r="T51" i="61"/>
  <c r="R47" i="41"/>
  <c r="C39" i="35"/>
  <c r="T53" i="103"/>
  <c r="T52" i="61"/>
  <c r="R47" i="47"/>
  <c r="U49" i="61"/>
  <c r="T52" i="105"/>
  <c r="T52" i="63"/>
  <c r="C39" i="43"/>
  <c r="U49" i="102"/>
  <c r="R47" i="36"/>
  <c r="R46" i="41"/>
  <c r="S43" i="54"/>
  <c r="R45" i="37"/>
  <c r="S43" i="36"/>
  <c r="S43" i="47"/>
  <c r="T52" i="104"/>
  <c r="T52" i="102"/>
  <c r="R46" i="37"/>
  <c r="R47" i="48"/>
  <c r="C39" i="37"/>
  <c r="R45" i="49"/>
  <c r="C39" i="39"/>
  <c r="T52" i="100"/>
  <c r="C39" i="48"/>
  <c r="T51" i="104"/>
  <c r="S43" i="46"/>
  <c r="C39" i="49"/>
  <c r="R45" i="44"/>
  <c r="C45" i="102"/>
  <c r="S43" i="37"/>
  <c r="T51" i="62"/>
  <c r="S43" i="38"/>
  <c r="R47" i="50"/>
  <c r="R47" i="54"/>
  <c r="C39" i="46"/>
  <c r="R47" i="35"/>
  <c r="R45" i="42"/>
  <c r="R46" i="40"/>
  <c r="T53" i="101"/>
  <c r="R47" i="44"/>
  <c r="C39" i="41"/>
  <c r="R47" i="49"/>
  <c r="R46" i="50"/>
  <c r="T51" i="105"/>
  <c r="T51" i="101"/>
  <c r="C39" i="50"/>
  <c r="T53" i="63"/>
  <c r="U49" i="62"/>
  <c r="R45" i="43"/>
  <c r="C45" i="101"/>
  <c r="C45" i="105"/>
  <c r="U49" i="104"/>
  <c r="T53" i="105"/>
  <c r="C39" i="45"/>
  <c r="R45" i="46"/>
  <c r="S43" i="49"/>
  <c r="R45" i="47"/>
  <c r="S43" i="41"/>
  <c r="R47" i="40"/>
  <c r="R47" i="37"/>
  <c r="U49" i="101"/>
  <c r="R45" i="39"/>
  <c r="S43" i="39"/>
  <c r="T53" i="62"/>
  <c r="U49" i="63"/>
  <c r="C39"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0700-000001000000}">
      <text>
        <r>
          <rPr>
            <b/>
            <sz val="9"/>
            <color indexed="81"/>
            <rFont val="Tahoma"/>
            <family val="2"/>
          </rPr>
          <t>Omid Hosseini:</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1000-000001000000}">
      <text>
        <r>
          <rPr>
            <b/>
            <sz val="9"/>
            <color indexed="81"/>
            <rFont val="Tahoma"/>
            <family val="2"/>
          </rPr>
          <t>Omid Hosseini:</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1100-000001000000}">
      <text>
        <r>
          <rPr>
            <b/>
            <sz val="9"/>
            <color indexed="81"/>
            <rFont val="Tahoma"/>
            <family val="2"/>
          </rPr>
          <t>Omid Hosseini:</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1200-000001000000}">
      <text>
        <r>
          <rPr>
            <b/>
            <sz val="9"/>
            <color indexed="81"/>
            <rFont val="Tahoma"/>
            <family val="2"/>
          </rPr>
          <t>Omid Hosseini:</t>
        </r>
        <r>
          <rPr>
            <sz val="9"/>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1300-000001000000}">
      <text>
        <r>
          <rPr>
            <b/>
            <sz val="9"/>
            <color indexed="81"/>
            <rFont val="Tahoma"/>
            <family val="2"/>
          </rPr>
          <t>Omid Hosseini:</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1400-000001000000}">
      <text>
        <r>
          <rPr>
            <b/>
            <sz val="9"/>
            <color indexed="81"/>
            <rFont val="Tahoma"/>
            <family val="2"/>
          </rPr>
          <t>Omid Hosseini:</t>
        </r>
        <r>
          <rPr>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1500-000001000000}">
      <text>
        <r>
          <rPr>
            <b/>
            <sz val="9"/>
            <color indexed="81"/>
            <rFont val="Tahoma"/>
            <family val="2"/>
          </rPr>
          <t>Omid Hosseini:</t>
        </r>
        <r>
          <rPr>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1600-000001000000}">
      <text>
        <r>
          <rPr>
            <b/>
            <sz val="9"/>
            <color indexed="81"/>
            <rFont val="Tahoma"/>
            <family val="2"/>
          </rPr>
          <t>Omid Hosseini:</t>
        </r>
        <r>
          <rPr>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1700-000001000000}">
      <text>
        <r>
          <rPr>
            <b/>
            <sz val="9"/>
            <color indexed="81"/>
            <rFont val="Tahoma"/>
            <family val="2"/>
          </rPr>
          <t>Omid Hosseini:</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1800-000001000000}">
      <text>
        <r>
          <rPr>
            <b/>
            <sz val="9"/>
            <color indexed="81"/>
            <rFont val="Tahoma"/>
            <family val="2"/>
          </rPr>
          <t>Omid Hosseini:</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1900-000001000000}">
      <text>
        <r>
          <rPr>
            <b/>
            <sz val="9"/>
            <color indexed="81"/>
            <rFont val="Tahoma"/>
            <family val="2"/>
          </rPr>
          <t>Omid Hosseini: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0800-000001000000}">
      <text>
        <r>
          <rPr>
            <b/>
            <sz val="9"/>
            <color indexed="81"/>
            <rFont val="Tahoma"/>
            <family val="2"/>
          </rPr>
          <t>Omid Hosseini:</t>
        </r>
        <r>
          <rPr>
            <sz val="9"/>
            <color indexed="81"/>
            <rFont val="Tahoma"/>
            <family val="2"/>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1A00-000001000000}">
      <text>
        <r>
          <rPr>
            <b/>
            <sz val="9"/>
            <color indexed="81"/>
            <rFont val="Tahoma"/>
            <family val="2"/>
          </rPr>
          <t>Omid Hosseini:</t>
        </r>
        <r>
          <rPr>
            <sz val="9"/>
            <color indexed="81"/>
            <rFont val="Tahoma"/>
            <family val="2"/>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1B00-000001000000}">
      <text>
        <r>
          <rPr>
            <b/>
            <sz val="9"/>
            <color indexed="81"/>
            <rFont val="Tahoma"/>
            <family val="2"/>
          </rPr>
          <t>Omid Hosseini:</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0900-000001000000}">
      <text>
        <r>
          <rPr>
            <b/>
            <sz val="9"/>
            <color indexed="81"/>
            <rFont val="Tahoma"/>
            <family val="2"/>
          </rPr>
          <t>Omid Hosseini:</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0A00-000001000000}">
      <text>
        <r>
          <rPr>
            <b/>
            <sz val="9"/>
            <color indexed="81"/>
            <rFont val="Tahoma"/>
            <family val="2"/>
          </rPr>
          <t>Omid Hosseini:</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0B00-000001000000}">
      <text>
        <r>
          <rPr>
            <b/>
            <sz val="9"/>
            <color indexed="81"/>
            <rFont val="Tahoma"/>
            <family val="2"/>
          </rPr>
          <t>Omid Hosseini:</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0C00-000001000000}">
      <text>
        <r>
          <rPr>
            <b/>
            <sz val="9"/>
            <color indexed="81"/>
            <rFont val="Tahoma"/>
            <family val="2"/>
          </rPr>
          <t>Omid Hosseini:</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0D00-000001000000}">
      <text>
        <r>
          <rPr>
            <b/>
            <sz val="9"/>
            <color indexed="81"/>
            <rFont val="Tahoma"/>
            <family val="2"/>
          </rPr>
          <t>Omid Hosseini:</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0E00-000001000000}">
      <text>
        <r>
          <rPr>
            <b/>
            <sz val="9"/>
            <color indexed="81"/>
            <rFont val="Tahoma"/>
            <family val="2"/>
          </rPr>
          <t>Omid Hosseini:</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Omid Hosseini</author>
  </authors>
  <commentList>
    <comment ref="A17" authorId="0" shapeId="0" xr:uid="{00000000-0006-0000-0F00-000001000000}">
      <text>
        <r>
          <rPr>
            <b/>
            <sz val="9"/>
            <color indexed="81"/>
            <rFont val="Tahoma"/>
            <family val="2"/>
          </rPr>
          <t>Omid Hosseini:</t>
        </r>
        <r>
          <rPr>
            <sz val="9"/>
            <color indexed="81"/>
            <rFont val="Tahoma"/>
            <family val="2"/>
          </rPr>
          <t xml:space="preserve">
</t>
        </r>
      </text>
    </comment>
  </commentList>
</comments>
</file>

<file path=xl/sharedStrings.xml><?xml version="1.0" encoding="utf-8"?>
<sst xmlns="http://schemas.openxmlformats.org/spreadsheetml/2006/main" count="2740" uniqueCount="218">
  <si>
    <t>DESCRIPTION</t>
  </si>
  <si>
    <t>CUSTOMER</t>
  </si>
  <si>
    <t>Port of Embarkation</t>
  </si>
  <si>
    <t>Port of Discharge</t>
  </si>
  <si>
    <t>Country of Origin</t>
  </si>
  <si>
    <t>TERMS OF SALE AND OTHER COMMENTS</t>
  </si>
  <si>
    <t>Reason for Export:</t>
  </si>
  <si>
    <t>PRO FORMA INVOICE</t>
  </si>
  <si>
    <t>ADDITIONAL DETAILS</t>
  </si>
  <si>
    <t>Fax: 86-22-23146324</t>
  </si>
  <si>
    <t xml:space="preserve">Phone:  86-22-23146325    </t>
  </si>
  <si>
    <t>58 nan Jing Road,</t>
  </si>
  <si>
    <t>Tianjin,  China.</t>
  </si>
  <si>
    <t xml:space="preserve">BANK NAME:  BANK OF KUNLUN </t>
  </si>
  <si>
    <t>CITY: BEIJING, CHINA</t>
  </si>
  <si>
    <t>SWIFT CODE:  CKLBCNBJ</t>
  </si>
  <si>
    <t>CNAPSCODE:  313882000140</t>
  </si>
  <si>
    <t>CODE</t>
  </si>
  <si>
    <t>ORIGIN</t>
  </si>
  <si>
    <t>COMM. CODE</t>
  </si>
  <si>
    <t>Net weight(KG)</t>
  </si>
  <si>
    <t>Sub Total</t>
  </si>
  <si>
    <t>Freight</t>
  </si>
  <si>
    <t>Quantity (KG)</t>
  </si>
  <si>
    <t>FOR TEXTILE USE</t>
  </si>
  <si>
    <t>Grand Total</t>
  </si>
  <si>
    <t>Discount</t>
  </si>
  <si>
    <t>Other Charges</t>
  </si>
  <si>
    <t>China</t>
  </si>
  <si>
    <t>B.Abbas,IRAN</t>
  </si>
  <si>
    <t>It is hereby certified that this invoice shows the actual price of the goods described, that no other invoice has been or will be issued, and that all particulars are true and correct</t>
  </si>
  <si>
    <t>SHIPPING DETAILS</t>
  </si>
  <si>
    <t>Freight Type</t>
  </si>
  <si>
    <t>Total Packages</t>
  </si>
  <si>
    <t>By Vessel</t>
  </si>
  <si>
    <t>Package type</t>
  </si>
  <si>
    <t>Cartons</t>
  </si>
  <si>
    <t>Terms of Delivery:</t>
  </si>
  <si>
    <t>Terms of Payment:</t>
  </si>
  <si>
    <t>STANDARD REF.</t>
  </si>
  <si>
    <t>CFR B.Abbas</t>
  </si>
  <si>
    <t>Gross Weight</t>
  </si>
  <si>
    <t>Partial Shippment</t>
  </si>
  <si>
    <t>Allowed</t>
  </si>
  <si>
    <t>Validity Date:</t>
  </si>
  <si>
    <t>Date Of Issue:</t>
  </si>
  <si>
    <t>Country of beneficiary:</t>
  </si>
  <si>
    <t>PI NO :</t>
  </si>
  <si>
    <t>T.T</t>
  </si>
  <si>
    <t>Unit Price (CNY)</t>
  </si>
  <si>
    <t>TOTAL AMOUNT (CNY)</t>
  </si>
  <si>
    <t>CNY</t>
  </si>
  <si>
    <t>NAVY BLUE S - 2GL 200%</t>
  </si>
  <si>
    <t>Reactive</t>
  </si>
  <si>
    <t xml:space="preserve">Dycosperse Yellow L - 2G </t>
  </si>
  <si>
    <t>Dycosperse Orange L - 3R 200%</t>
  </si>
  <si>
    <t>Dycosperse Red L - FB 200%</t>
  </si>
  <si>
    <t>Dycosperse Blue L - 2BLN</t>
  </si>
  <si>
    <t>Dycosperse Red BS 200%</t>
  </si>
  <si>
    <t>Dycosperse Violet H - 3RL 200%</t>
  </si>
  <si>
    <t>Dycosperse Turquoise Blue H - GL 200%</t>
  </si>
  <si>
    <t>Dycosperse Navy Blue EX - SF 300%</t>
  </si>
  <si>
    <t>2812_1</t>
  </si>
  <si>
    <t>Dycosperse Black ECO 300%</t>
  </si>
  <si>
    <t>Dycosperse Rubin M - GFL 200%</t>
  </si>
  <si>
    <t>ACCOUNT NUMBER:  10002100032790000017</t>
  </si>
  <si>
    <t>SINOCHEMPLASTIC CO., LTD</t>
  </si>
  <si>
    <t>Drums</t>
  </si>
  <si>
    <t>PAYEE: SINOCHEM PLASTICS CO., LTD.</t>
  </si>
  <si>
    <t>SINOCHEM PLASTICS CO., LTD</t>
  </si>
  <si>
    <t>Tel:</t>
  </si>
  <si>
    <t>Fax:</t>
  </si>
  <si>
    <t>My CFR</t>
  </si>
  <si>
    <t>Net Profit</t>
  </si>
  <si>
    <t xml:space="preserve"> 中化塑料有限公司
SINOCHEM PLASTICS CO., LTD</t>
  </si>
  <si>
    <t>40 '</t>
  </si>
  <si>
    <t>20'</t>
  </si>
  <si>
    <t>No. Container</t>
  </si>
  <si>
    <t>40'</t>
  </si>
  <si>
    <t>Total Profit(RMB)</t>
  </si>
  <si>
    <t>Freight cost</t>
  </si>
  <si>
    <t>China CFR</t>
  </si>
  <si>
    <t>Grand Total Says: One Million and one hundred sixty five thousands and one hundered CNY</t>
  </si>
  <si>
    <t>Grand Total Says:</t>
  </si>
  <si>
    <t>Fax: +98 21 88 60 10 49</t>
  </si>
  <si>
    <t>Tel: +98 21 88 06 98 53</t>
  </si>
  <si>
    <t>Commercial Card No.14004155028</t>
  </si>
  <si>
    <t>No.33,Narpad Bulding,Golnar alley, elahyeh st. ,Tehran ,IRAN</t>
  </si>
  <si>
    <t>SYS ARANG KIAN</t>
  </si>
  <si>
    <t>Bale</t>
  </si>
  <si>
    <t>Commercial Card No.</t>
  </si>
  <si>
    <t>Cartons &amp; Drums</t>
  </si>
  <si>
    <t>Zhang Xiao Lei/H</t>
  </si>
  <si>
    <t>Total Commission</t>
  </si>
  <si>
    <t>Commission</t>
  </si>
  <si>
    <t>ضریب</t>
  </si>
  <si>
    <t>30/3/2015</t>
  </si>
  <si>
    <t>18/12/2014</t>
  </si>
  <si>
    <t>SYS/</t>
  </si>
  <si>
    <t>10638/COM</t>
  </si>
  <si>
    <t>10639/COM</t>
  </si>
  <si>
    <t>10640/COM</t>
  </si>
  <si>
    <t>10641/COM</t>
  </si>
  <si>
    <t>10643/COM</t>
  </si>
  <si>
    <t>P.type</t>
  </si>
  <si>
    <t>Carton</t>
  </si>
  <si>
    <t>Drum</t>
  </si>
  <si>
    <t>10642/COM</t>
  </si>
  <si>
    <t xml:space="preserve"> 中化天津有限公司
SINOCHEM TIANJIN CO., LTD</t>
  </si>
  <si>
    <t>SINOCHEM TIANJIN CO., LTD</t>
  </si>
  <si>
    <t>ACCOUNT NUMBER:10002000096220000017</t>
  </si>
  <si>
    <t>ACCOUNT NUMBER:10002000096220000016</t>
  </si>
  <si>
    <t>PAYEE: SINOCHEM PLASTICS CO., LTD</t>
  </si>
  <si>
    <t>PAYEE:SINOCHEM TIANJIN CO., LTD</t>
  </si>
  <si>
    <t>10645-CU</t>
  </si>
  <si>
    <t>10644-CU</t>
  </si>
  <si>
    <t>10646-CU</t>
  </si>
  <si>
    <t>10647-CU</t>
  </si>
  <si>
    <t>10648-CU</t>
  </si>
  <si>
    <t>10649-CU</t>
  </si>
  <si>
    <t>10650-CU</t>
  </si>
  <si>
    <t>10651-CU</t>
  </si>
  <si>
    <t>10652-CU</t>
  </si>
  <si>
    <t>10653-CU</t>
  </si>
  <si>
    <t>10657-CU</t>
  </si>
  <si>
    <t>TOTAL PROFIT</t>
  </si>
  <si>
    <t>Total Package</t>
  </si>
  <si>
    <t xml:space="preserve">       349,160.00 </t>
  </si>
  <si>
    <t xml:space="preserve">       392,700.00 </t>
  </si>
  <si>
    <t xml:space="preserve">       137,400.00 </t>
  </si>
  <si>
    <t xml:space="preserve">         87,720.00 </t>
  </si>
  <si>
    <t xml:space="preserve">       170,275.00 </t>
  </si>
  <si>
    <t xml:space="preserve">         94,000.00 </t>
  </si>
  <si>
    <t xml:space="preserve">       156,060.00 </t>
  </si>
  <si>
    <t xml:space="preserve">       480,420.00 </t>
  </si>
  <si>
    <t xml:space="preserve">         56,610.00 </t>
  </si>
  <si>
    <t xml:space="preserve">       192,780.00 </t>
  </si>
  <si>
    <t xml:space="preserve">       210,120.00 </t>
  </si>
  <si>
    <t>10662-CU</t>
  </si>
  <si>
    <t>L.C at sight</t>
  </si>
  <si>
    <t>10663-CU</t>
  </si>
  <si>
    <t>10664-CU</t>
  </si>
  <si>
    <t>10665-CU</t>
  </si>
  <si>
    <t>Gross Weight (KG)</t>
  </si>
  <si>
    <t>ACCOUNT NUMBER:10002100032790000017</t>
  </si>
  <si>
    <t xml:space="preserve">  T.T</t>
  </si>
  <si>
    <t>30/03/2015</t>
  </si>
  <si>
    <t>Zhang Xiao Lei/S</t>
  </si>
  <si>
    <t>نام شرکت / کارخانه :</t>
  </si>
  <si>
    <t>وزن (کیلوگرم)</t>
  </si>
  <si>
    <t>: وزن کل (کیلوگرم)</t>
  </si>
  <si>
    <t>لطفا مقدار مورد نظر جهت سفارش هر رنگ را در بخش وزن مربوطه وارد نموده و پس از ذخیره نمودن، در ذیل صفحه فروشگاه ارزی آپلود نمایید.</t>
  </si>
  <si>
    <t>.......................</t>
  </si>
  <si>
    <t>Mix</t>
  </si>
  <si>
    <t>کمپانی</t>
  </si>
  <si>
    <t>نام کالا</t>
  </si>
  <si>
    <t>قابل توجه مشتریان گرامی:</t>
  </si>
  <si>
    <t>Prices based on CFR Bandar Abbas, Without Inspection</t>
  </si>
  <si>
    <r>
      <rPr>
        <b/>
        <sz val="18"/>
        <color theme="1"/>
        <rFont val="B Nazanin"/>
        <charset val="178"/>
      </rPr>
      <t xml:space="preserve">مجموع سفارش جهت رنگ نساجی : </t>
    </r>
    <r>
      <rPr>
        <b/>
        <sz val="14"/>
        <color theme="1"/>
        <rFont val="B Nazanin"/>
        <charset val="178"/>
      </rPr>
      <t xml:space="preserve">
  - 24000 کیلوگرم معادل یک کانتینر 40 فوت  (960 کارتن)
  - 12000 کیلوگرم معادل یک کانتینر 20 فوت  (480 کارتن)
  مجموع سفارش کمتر از 12000 کیلوگرم نیازمند حمل LCL و تفکیک بارنامه بوده و هزینه حمل بیشتری به همراه خواهد داشت.</t>
    </r>
  </si>
  <si>
    <t>شماره تلفن ثابت / موبایل :</t>
  </si>
  <si>
    <t>ایمیل :</t>
  </si>
  <si>
    <t>.</t>
  </si>
  <si>
    <t>Blue 21</t>
  </si>
  <si>
    <t>نوع محصول</t>
  </si>
  <si>
    <t>کد محصول</t>
  </si>
  <si>
    <t>کد رنگ</t>
  </si>
  <si>
    <t>Kiri Industries</t>
  </si>
  <si>
    <t>Yellow 160</t>
  </si>
  <si>
    <t>Yellow 145</t>
  </si>
  <si>
    <t>Orange 122</t>
  </si>
  <si>
    <t>Red 195</t>
  </si>
  <si>
    <t>Blue BRF</t>
  </si>
  <si>
    <t>Blue 221</t>
  </si>
  <si>
    <t>Blue ME2RL</t>
  </si>
  <si>
    <t>Blue 248</t>
  </si>
  <si>
    <t>Navy Blue MEBF</t>
  </si>
  <si>
    <t>Blue 222</t>
  </si>
  <si>
    <t>Deep Red KVD</t>
  </si>
  <si>
    <t>Oxford Blue</t>
  </si>
  <si>
    <t>Blue 187</t>
  </si>
  <si>
    <t>0042</t>
  </si>
  <si>
    <t>Navy Blue KV</t>
  </si>
  <si>
    <t>5923</t>
  </si>
  <si>
    <t>Black KVN H/C</t>
  </si>
  <si>
    <t>5922</t>
  </si>
  <si>
    <t>Jet Black </t>
  </si>
  <si>
    <t>Blue KG 266%</t>
  </si>
  <si>
    <t>5810</t>
  </si>
  <si>
    <t>Black B 150%</t>
  </si>
  <si>
    <t>Black 5</t>
  </si>
  <si>
    <t>7859</t>
  </si>
  <si>
    <t>Red SPD</t>
  </si>
  <si>
    <t>7861</t>
  </si>
  <si>
    <t>Navy Blue SPD</t>
  </si>
  <si>
    <t>7862</t>
  </si>
  <si>
    <t>Yellow SPD</t>
  </si>
  <si>
    <t>3429</t>
  </si>
  <si>
    <t>Blue BB</t>
  </si>
  <si>
    <t>Blue 220</t>
  </si>
  <si>
    <t>Yellow ME4GL 125%</t>
  </si>
  <si>
    <t>Yellow MERL 150%</t>
  </si>
  <si>
    <t>Orange ME2RL 125%</t>
  </si>
  <si>
    <t>Red ME4BL 150%</t>
  </si>
  <si>
    <t xml:space="preserve"> : قیمت کل (دلار)</t>
  </si>
  <si>
    <t>BLACK KF</t>
  </si>
  <si>
    <t>mix</t>
  </si>
  <si>
    <t>RED RB</t>
  </si>
  <si>
    <t>RED 198</t>
  </si>
  <si>
    <t>Yellow GR</t>
  </si>
  <si>
    <t>YELLOW 15</t>
  </si>
  <si>
    <t>Yellow KX CONC</t>
  </si>
  <si>
    <t>Blue HEGN</t>
  </si>
  <si>
    <t>0865</t>
  </si>
  <si>
    <t>7882</t>
  </si>
  <si>
    <t>YELLOW MIX</t>
  </si>
  <si>
    <t>BLUE 198</t>
  </si>
  <si>
    <t>مجموع قیمت CFR (درهم)</t>
  </si>
  <si>
    <t>قیمت هر کیلوگرم CFR (درهم)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</si>
</sst>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00_);_(* \(#,##0.00\);_(* &quot;-&quot;??_);_(@_)"/>
    <numFmt numFmtId="166" formatCode="0.0%"/>
    <numFmt numFmtId="167" formatCode="_(* #,##0_);_(* \(#,##0\);_(* &quot;-&quot;??_);_(@_)"/>
    <numFmt numFmtId="168" formatCode="#\,##0"/>
    <numFmt numFmtId="169" formatCode="#\,##0.00_ ;\-#\,##0.00&quot; &quot;"/>
    <numFmt numFmtId="170" formatCode="0.000000"/>
    <numFmt numFmtId="171" formatCode="_(* #,##0.0000_);_(* \(#,##0.0000\);_(* &quot;-&quot;??_);_(@_)"/>
    <numFmt numFmtId="172" formatCode="0.00_);\(0.00\)"/>
  </numFmts>
  <fonts count="37" x14ac:knownFonts="1">
    <font>
      <sz val="10"/>
      <name val="Trebuchet MS"/>
      <family val="2"/>
    </font>
    <font>
      <sz val="11"/>
      <color theme="1"/>
      <name val="Calibri"/>
      <family val="2"/>
      <scheme val="minor"/>
    </font>
    <font>
      <sz val="10"/>
      <name val="Verdana"/>
      <family val="2"/>
    </font>
    <font>
      <b/>
      <sz val="10"/>
      <name val="Trebuchet MS"/>
      <family val="2"/>
    </font>
    <font>
      <sz val="10"/>
      <name val="Trebuchet MS"/>
      <family val="2"/>
    </font>
    <font>
      <b/>
      <sz val="11"/>
      <color indexed="9"/>
      <name val="Trebuchet MS"/>
      <family val="2"/>
    </font>
    <font>
      <sz val="10"/>
      <name val="Arial"/>
      <family val="2"/>
    </font>
    <font>
      <b/>
      <sz val="10"/>
      <name val="Times New Roman"/>
      <family val="1"/>
    </font>
    <font>
      <sz val="16"/>
      <name val="Trebuchet MS"/>
      <family val="2"/>
    </font>
    <font>
      <b/>
      <sz val="14"/>
      <name val="Trebuchet MS"/>
      <family val="2"/>
    </font>
    <font>
      <b/>
      <sz val="16"/>
      <name val="Trebuchet MS"/>
      <family val="2"/>
    </font>
    <font>
      <b/>
      <sz val="12"/>
      <name val="Trebuchet MS"/>
      <family val="2"/>
    </font>
    <font>
      <b/>
      <sz val="11"/>
      <name val="Trebuchet MS"/>
      <family val="2"/>
    </font>
    <font>
      <b/>
      <sz val="28"/>
      <color indexed="52"/>
      <name val="Tahoma"/>
      <family val="2"/>
    </font>
    <font>
      <sz val="9"/>
      <color indexed="81"/>
      <name val="Tahoma"/>
      <family val="2"/>
    </font>
    <font>
      <b/>
      <sz val="9"/>
      <color indexed="81"/>
      <name val="Tahoma"/>
      <family val="2"/>
    </font>
    <font>
      <sz val="11"/>
      <name val="Trebuchet MS"/>
      <family val="2"/>
    </font>
    <font>
      <sz val="10"/>
      <name val="Verdana"/>
      <family val="2"/>
    </font>
    <font>
      <b/>
      <sz val="10"/>
      <color indexed="9"/>
      <name val="Trebuchet MS"/>
      <family val="2"/>
    </font>
    <font>
      <sz val="12"/>
      <name val="Arial"/>
      <family val="2"/>
    </font>
    <font>
      <b/>
      <sz val="14"/>
      <name val="B Nazanin"/>
      <charset val="178"/>
    </font>
    <font>
      <sz val="14"/>
      <name val="Trebuchet MS"/>
      <family val="2"/>
    </font>
    <font>
      <b/>
      <sz val="12"/>
      <name val="B Titr"/>
      <charset val="178"/>
    </font>
    <font>
      <sz val="11"/>
      <color theme="1"/>
      <name val="Calibri"/>
      <family val="2"/>
      <scheme val="minor"/>
    </font>
    <font>
      <sz val="10"/>
      <color rgb="FFFF0000"/>
      <name val="Trebuchet MS"/>
      <family val="2"/>
    </font>
    <font>
      <sz val="15"/>
      <color rgb="FF0000FF"/>
      <name val="FangSong_GB2312"/>
    </font>
    <font>
      <sz val="11"/>
      <color rgb="FF000000"/>
      <name val="Calibri"/>
      <family val="2"/>
    </font>
    <font>
      <sz val="13.5"/>
      <color rgb="FF000000"/>
      <name val="Arial"/>
      <family val="2"/>
    </font>
    <font>
      <b/>
      <sz val="12"/>
      <color theme="1"/>
      <name val="Calibri"/>
      <family val="2"/>
      <scheme val="minor"/>
    </font>
    <font>
      <b/>
      <sz val="12"/>
      <color theme="0"/>
      <name val="B Titr"/>
      <charset val="178"/>
    </font>
    <font>
      <sz val="16"/>
      <color theme="1"/>
      <name val="B Titr"/>
      <charset val="178"/>
    </font>
    <font>
      <b/>
      <sz val="14"/>
      <color theme="1"/>
      <name val="B Nazanin"/>
      <charset val="178"/>
    </font>
    <font>
      <b/>
      <sz val="18"/>
      <color theme="1"/>
      <name val="B Nazanin"/>
      <charset val="178"/>
    </font>
    <font>
      <sz val="11"/>
      <name val="B Nazanin"/>
      <charset val="178"/>
    </font>
    <font>
      <sz val="11"/>
      <color rgb="FF000000"/>
      <name val="Calibri"/>
      <family val="2"/>
      <charset val="1"/>
    </font>
    <font>
      <b/>
      <sz val="11"/>
      <name val="Calibri"/>
      <family val="2"/>
      <scheme val="minor"/>
    </font>
    <font>
      <sz val="8"/>
      <name val="Trebuchet MS"/>
      <family val="2"/>
    </font>
  </fonts>
  <fills count="11">
    <fill>
      <patternFill patternType="none"/>
    </fill>
    <fill>
      <patternFill patternType="gray125"/>
    </fill>
    <fill>
      <patternFill patternType="solid">
        <fgColor indexed="53"/>
        <bgColor indexed="64"/>
      </patternFill>
    </fill>
    <fill>
      <patternFill patternType="solid">
        <fgColor indexed="23"/>
        <bgColor indexed="64"/>
      </patternFill>
    </fill>
    <fill>
      <patternFill patternType="solid">
        <fgColor indexed="22"/>
        <bgColor indexed="64"/>
      </patternFill>
    </fill>
    <fill>
      <patternFill patternType="solid">
        <fgColor indexed="47"/>
        <bgColor indexed="64"/>
      </patternFill>
    </fill>
    <fill>
      <patternFill patternType="solid">
        <fgColor theme="6" tint="0.59999389629810485"/>
        <bgColor indexed="64"/>
      </patternFill>
    </fill>
    <fill>
      <patternFill patternType="solid">
        <fgColor theme="0"/>
        <bgColor indexed="64"/>
      </patternFill>
    </fill>
    <fill>
      <patternFill patternType="solid">
        <fgColor rgb="FFF9FFD7"/>
        <bgColor indexed="64"/>
      </patternFill>
    </fill>
    <fill>
      <patternFill patternType="solid">
        <fgColor theme="4" tint="-0.249977111117893"/>
        <bgColor indexed="64"/>
      </patternFill>
    </fill>
    <fill>
      <patternFill patternType="solid">
        <fgColor rgb="FFCCFFCC"/>
        <bgColor indexed="64"/>
      </patternFill>
    </fill>
  </fills>
  <borders count="53">
    <border>
      <left/>
      <right/>
      <top/>
      <bottom/>
      <diagonal/>
    </border>
    <border>
      <left/>
      <right/>
      <top style="thin">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theme="0" tint="-4.9989318521683403E-2"/>
      </left>
      <right style="thin">
        <color theme="0" tint="-4.9989318521683403E-2"/>
      </right>
      <top style="thin">
        <color indexed="64"/>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medium">
        <color indexed="64"/>
      </top>
      <bottom style="thin">
        <color theme="0" tint="-4.9989318521683403E-2"/>
      </bottom>
      <diagonal/>
    </border>
    <border>
      <left style="medium">
        <color indexed="64"/>
      </left>
      <right style="thin">
        <color theme="0" tint="-4.9989318521683403E-2"/>
      </right>
      <top style="thin">
        <color indexed="64"/>
      </top>
      <bottom style="thin">
        <color theme="0" tint="-4.9989318521683403E-2"/>
      </bottom>
      <diagonal/>
    </border>
    <border>
      <left style="medium">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medium">
        <color indexed="64"/>
      </left>
      <right style="thin">
        <color theme="0" tint="-4.9989318521683403E-2"/>
      </right>
      <top style="medium">
        <color indexed="64"/>
      </top>
      <bottom style="thin">
        <color theme="0" tint="-4.9989318521683403E-2"/>
      </bottom>
      <diagonal/>
    </border>
    <border>
      <left style="thin">
        <color theme="0" tint="-4.9989318521683403E-2"/>
      </left>
      <right/>
      <top style="medium">
        <color indexed="64"/>
      </top>
      <bottom style="thin">
        <color theme="0" tint="-4.9989318521683403E-2"/>
      </bottom>
      <diagonal/>
    </border>
    <border>
      <left style="medium">
        <color theme="1"/>
      </left>
      <right style="thin">
        <color theme="0" tint="-4.9989318521683403E-2"/>
      </right>
      <top style="medium">
        <color theme="1"/>
      </top>
      <bottom style="thin">
        <color theme="0" tint="-4.9989318521683403E-2"/>
      </bottom>
      <diagonal/>
    </border>
    <border>
      <left style="medium">
        <color theme="1"/>
      </left>
      <right style="thin">
        <color theme="0" tint="-4.9989318521683403E-2"/>
      </right>
      <top style="thin">
        <color theme="0" tint="-4.9989318521683403E-2"/>
      </top>
      <bottom style="thin">
        <color theme="0" tint="-4.9989318521683403E-2"/>
      </bottom>
      <diagonal/>
    </border>
    <border>
      <left style="medium">
        <color theme="1"/>
      </left>
      <right style="thin">
        <color theme="0" tint="-4.9989318521683403E-2"/>
      </right>
      <top style="thin">
        <color theme="0" tint="-4.9989318521683403E-2"/>
      </top>
      <bottom style="medium">
        <color indexed="64"/>
      </bottom>
      <diagonal/>
    </border>
    <border>
      <left/>
      <right/>
      <top style="medium">
        <color indexed="64"/>
      </top>
      <bottom style="thin">
        <color theme="0" tint="-4.9989318521683403E-2"/>
      </bottom>
      <diagonal/>
    </border>
    <border>
      <left/>
      <right style="thin">
        <color theme="0" tint="-4.9989318521683403E-2"/>
      </right>
      <top style="medium">
        <color indexed="64"/>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bottom style="thin">
        <color theme="0" tint="-4.9989318521683403E-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2">
    <xf numFmtId="0" fontId="0" fillId="0" borderId="0"/>
    <xf numFmtId="165" fontId="2" fillId="0" borderId="0" applyFont="0" applyFill="0" applyBorder="0" applyAlignment="0" applyProtection="0"/>
    <xf numFmtId="165" fontId="17" fillId="0" borderId="0" applyFont="0" applyFill="0" applyBorder="0" applyAlignment="0" applyProtection="0"/>
    <xf numFmtId="164" fontId="17" fillId="0" borderId="0" applyFont="0" applyFill="0" applyBorder="0" applyAlignment="0" applyProtection="0"/>
    <xf numFmtId="164" fontId="23" fillId="0" borderId="0" applyFont="0" applyFill="0" applyBorder="0" applyAlignment="0" applyProtection="0"/>
    <xf numFmtId="0" fontId="6" fillId="0" borderId="0"/>
    <xf numFmtId="0" fontId="4" fillId="0" borderId="0"/>
    <xf numFmtId="0" fontId="23" fillId="0" borderId="0"/>
    <xf numFmtId="9" fontId="2" fillId="0" borderId="0" applyFont="0" applyFill="0" applyBorder="0" applyAlignment="0" applyProtection="0"/>
    <xf numFmtId="9" fontId="23" fillId="0" borderId="0" applyFont="0" applyFill="0" applyBorder="0" applyAlignment="0" applyProtection="0"/>
    <xf numFmtId="0" fontId="1" fillId="0" borderId="0"/>
    <xf numFmtId="164" fontId="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cellStyleXfs>
  <cellXfs count="339">
    <xf numFmtId="0" fontId="0" fillId="0" borderId="0" xfId="0"/>
    <xf numFmtId="0" fontId="0" fillId="0" borderId="0" xfId="0" applyBorder="1"/>
    <xf numFmtId="0" fontId="0" fillId="0" borderId="0" xfId="0" applyBorder="1" applyAlignment="1" applyProtection="1">
      <alignment horizontal="left" vertical="top"/>
      <protection locked="0"/>
    </xf>
    <xf numFmtId="0" fontId="5" fillId="2" borderId="0" xfId="0" applyFont="1" applyFill="1" applyBorder="1" applyAlignment="1">
      <alignment horizontal="left"/>
    </xf>
    <xf numFmtId="0" fontId="0" fillId="0" borderId="1" xfId="0" applyBorder="1" applyAlignment="1" applyProtection="1">
      <alignment horizontal="left" vertical="top"/>
      <protection locked="0"/>
    </xf>
    <xf numFmtId="0" fontId="5" fillId="3" borderId="0" xfId="0" applyFont="1" applyFill="1" applyBorder="1" applyAlignment="1"/>
    <xf numFmtId="0" fontId="0" fillId="0" borderId="0" xfId="0" applyBorder="1" applyAlignment="1" applyProtection="1">
      <alignment vertical="top"/>
      <protection locked="0"/>
    </xf>
    <xf numFmtId="0" fontId="5" fillId="2" borderId="0" xfId="0" applyFont="1" applyFill="1" applyBorder="1" applyAlignment="1"/>
    <xf numFmtId="0" fontId="0" fillId="0" borderId="2" xfId="0" applyBorder="1"/>
    <xf numFmtId="0" fontId="0" fillId="0" borderId="0" xfId="0" applyBorder="1" applyAlignment="1" applyProtection="1">
      <protection locked="0"/>
    </xf>
    <xf numFmtId="0" fontId="0" fillId="0" borderId="0" xfId="0" applyBorder="1" applyAlignment="1" applyProtection="1">
      <alignment horizontal="left"/>
      <protection locked="0"/>
    </xf>
    <xf numFmtId="0" fontId="0" fillId="0" borderId="3" xfId="0" applyBorder="1"/>
    <xf numFmtId="0" fontId="0" fillId="0" borderId="4" xfId="0" applyBorder="1"/>
    <xf numFmtId="0" fontId="5" fillId="2" borderId="5" xfId="0" applyFont="1" applyFill="1" applyBorder="1" applyAlignment="1">
      <alignment horizontal="left"/>
    </xf>
    <xf numFmtId="0" fontId="5" fillId="2" borderId="4" xfId="0" applyFont="1" applyFill="1" applyBorder="1" applyAlignment="1"/>
    <xf numFmtId="0" fontId="0" fillId="0" borderId="6" xfId="0" applyBorder="1" applyAlignment="1" applyProtection="1">
      <alignment vertical="top"/>
      <protection locked="0"/>
    </xf>
    <xf numFmtId="0" fontId="0" fillId="0" borderId="4" xfId="0" applyBorder="1" applyAlignment="1" applyProtection="1">
      <alignment vertical="top"/>
      <protection locked="0"/>
    </xf>
    <xf numFmtId="0" fontId="3" fillId="0" borderId="3" xfId="0" applyFont="1" applyBorder="1" applyAlignment="1" applyProtection="1">
      <alignment horizontal="center" vertical="top"/>
      <protection locked="0"/>
    </xf>
    <xf numFmtId="0" fontId="5" fillId="3" borderId="4" xfId="0" applyFont="1" applyFill="1" applyBorder="1" applyAlignment="1"/>
    <xf numFmtId="0" fontId="3" fillId="3" borderId="3" xfId="0" applyFont="1" applyFill="1" applyBorder="1" applyAlignment="1" applyProtection="1">
      <alignment horizontal="center" vertical="top"/>
      <protection locked="0"/>
    </xf>
    <xf numFmtId="0" fontId="0" fillId="0" borderId="4"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7" xfId="0" applyBorder="1"/>
    <xf numFmtId="0" fontId="3" fillId="0" borderId="8" xfId="0" applyFont="1" applyBorder="1" applyAlignment="1" applyProtection="1">
      <alignment horizontal="center" vertical="top"/>
      <protection locked="0"/>
    </xf>
    <xf numFmtId="0" fontId="0" fillId="0" borderId="7" xfId="0" applyBorder="1" applyAlignment="1">
      <alignment horizontal="left"/>
    </xf>
    <xf numFmtId="167" fontId="5" fillId="2" borderId="0" xfId="0" applyNumberFormat="1" applyFont="1" applyFill="1" applyBorder="1" applyAlignment="1"/>
    <xf numFmtId="0" fontId="3" fillId="0" borderId="0" xfId="0" applyFont="1" applyBorder="1" applyAlignment="1" applyProtection="1">
      <alignment horizontal="left" vertical="top"/>
      <protection locked="0"/>
    </xf>
    <xf numFmtId="0" fontId="3" fillId="0" borderId="0" xfId="0" applyFont="1" applyBorder="1"/>
    <xf numFmtId="0" fontId="3" fillId="0" borderId="4" xfId="0" applyFont="1" applyBorder="1"/>
    <xf numFmtId="0" fontId="3" fillId="0" borderId="4" xfId="0" applyFont="1" applyBorder="1" applyAlignment="1" applyProtection="1">
      <alignment horizontal="left" vertical="top"/>
      <protection locked="0"/>
    </xf>
    <xf numFmtId="0" fontId="13" fillId="0" borderId="9" xfId="0" applyFont="1" applyBorder="1" applyAlignment="1">
      <alignment horizontal="right"/>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left"/>
    </xf>
    <xf numFmtId="0" fontId="16" fillId="0" borderId="0" xfId="0" applyFont="1" applyBorder="1" applyAlignment="1" applyProtection="1">
      <protection locked="0"/>
    </xf>
    <xf numFmtId="0" fontId="12" fillId="0" borderId="0" xfId="0" applyFont="1" applyBorder="1" applyAlignment="1" applyProtection="1">
      <alignment horizontal="right" vertical="center"/>
      <protection locked="0"/>
    </xf>
    <xf numFmtId="0" fontId="16" fillId="0" borderId="0" xfId="0" applyFont="1" applyBorder="1" applyAlignment="1" applyProtection="1">
      <alignment horizontal="left"/>
      <protection locked="0"/>
    </xf>
    <xf numFmtId="0" fontId="12" fillId="0" borderId="4"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2" fillId="0" borderId="4" xfId="0" applyFont="1" applyBorder="1" applyAlignment="1" applyProtection="1">
      <protection locked="0"/>
    </xf>
    <xf numFmtId="0" fontId="12" fillId="0" borderId="0" xfId="0" applyFont="1" applyBorder="1" applyAlignment="1" applyProtection="1">
      <protection locked="0"/>
    </xf>
    <xf numFmtId="0" fontId="12" fillId="0" borderId="4" xfId="0" applyFont="1" applyBorder="1"/>
    <xf numFmtId="0" fontId="12" fillId="0" borderId="0" xfId="0" applyFont="1" applyBorder="1"/>
    <xf numFmtId="0" fontId="12" fillId="0" borderId="0" xfId="0" applyFont="1" applyBorder="1" applyAlignment="1" applyProtection="1">
      <alignment vertical="top"/>
      <protection locked="0"/>
    </xf>
    <xf numFmtId="165" fontId="11" fillId="0" borderId="3" xfId="0" applyNumberFormat="1" applyFont="1" applyBorder="1" applyAlignment="1" applyProtection="1">
      <alignment horizontal="center" vertical="top"/>
      <protection locked="0"/>
    </xf>
    <xf numFmtId="167" fontId="0" fillId="0" borderId="0" xfId="0" applyNumberFormat="1"/>
    <xf numFmtId="165" fontId="0" fillId="0" borderId="0" xfId="0" applyNumberFormat="1"/>
    <xf numFmtId="0" fontId="0" fillId="0" borderId="0" xfId="0" applyAlignment="1">
      <alignment horizontal="center" vertical="center"/>
    </xf>
    <xf numFmtId="170" fontId="0" fillId="0" borderId="0" xfId="0" applyNumberFormat="1" applyAlignment="1">
      <alignment vertical="center"/>
    </xf>
    <xf numFmtId="0" fontId="0" fillId="0" borderId="0" xfId="0" applyAlignment="1">
      <alignment vertical="center"/>
    </xf>
    <xf numFmtId="165" fontId="0" fillId="0" borderId="0" xfId="0" applyNumberFormat="1" applyAlignment="1">
      <alignment vertical="center"/>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165" fontId="12" fillId="4" borderId="12" xfId="2" applyFont="1" applyFill="1" applyBorder="1" applyAlignment="1" applyProtection="1">
      <alignment horizontal="right" vertical="center"/>
    </xf>
    <xf numFmtId="37" fontId="12" fillId="4" borderId="12" xfId="2" applyNumberFormat="1" applyFont="1" applyFill="1" applyBorder="1" applyAlignment="1" applyProtection="1">
      <alignment horizontal="right" vertical="center"/>
    </xf>
    <xf numFmtId="169" fontId="12" fillId="4" borderId="12" xfId="2" applyNumberFormat="1" applyFont="1" applyFill="1" applyBorder="1" applyAlignment="1" applyProtection="1">
      <alignment horizontal="right" vertical="center"/>
    </xf>
    <xf numFmtId="165" fontId="12" fillId="4" borderId="13" xfId="2" applyFont="1" applyFill="1" applyBorder="1" applyAlignment="1" applyProtection="1">
      <alignment horizontal="right"/>
    </xf>
    <xf numFmtId="165" fontId="5" fillId="2" borderId="14" xfId="2" applyFont="1" applyFill="1" applyBorder="1" applyAlignment="1"/>
    <xf numFmtId="167" fontId="12" fillId="4" borderId="3" xfId="2" applyNumberFormat="1" applyFont="1" applyFill="1" applyBorder="1" applyAlignment="1" applyProtection="1">
      <alignment horizontal="center" vertical="center"/>
    </xf>
    <xf numFmtId="1" fontId="12" fillId="4" borderId="3" xfId="2" applyNumberFormat="1" applyFont="1" applyFill="1" applyBorder="1" applyAlignment="1" applyProtection="1">
      <alignment horizontal="center" vertical="center"/>
    </xf>
    <xf numFmtId="168" fontId="12" fillId="4" borderId="3" xfId="2" applyNumberFormat="1" applyFont="1" applyFill="1" applyBorder="1" applyAlignment="1" applyProtection="1">
      <alignment horizontal="center" vertical="center"/>
    </xf>
    <xf numFmtId="0" fontId="12" fillId="0" borderId="24" xfId="0" applyFont="1" applyBorder="1" applyAlignment="1" applyProtection="1">
      <alignment horizontal="center" vertical="center"/>
      <protection locked="0"/>
    </xf>
    <xf numFmtId="10" fontId="0" fillId="0" borderId="0" xfId="8" applyNumberFormat="1" applyFont="1" applyAlignment="1">
      <alignment vertical="center"/>
    </xf>
    <xf numFmtId="0" fontId="24" fillId="6" borderId="0" xfId="0" applyFont="1" applyFill="1" applyAlignment="1">
      <alignment horizontal="center" vertical="center"/>
    </xf>
    <xf numFmtId="0" fontId="24" fillId="6" borderId="0" xfId="0" applyFont="1" applyFill="1" applyAlignment="1">
      <alignment horizontal="center"/>
    </xf>
    <xf numFmtId="0" fontId="0" fillId="6" borderId="0" xfId="0" applyFill="1"/>
    <xf numFmtId="0" fontId="12" fillId="0" borderId="25"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3" fillId="0" borderId="15" xfId="0" applyFont="1" applyBorder="1" applyAlignment="1"/>
    <xf numFmtId="2" fontId="0" fillId="0" borderId="0" xfId="0" applyNumberFormat="1" applyAlignment="1">
      <alignment horizontal="center" vertical="center"/>
    </xf>
    <xf numFmtId="166" fontId="0" fillId="0" borderId="0" xfId="8" applyNumberFormat="1" applyFont="1" applyAlignment="1">
      <alignment vertical="center"/>
    </xf>
    <xf numFmtId="2" fontId="0" fillId="0" borderId="0" xfId="0" applyNumberFormat="1"/>
    <xf numFmtId="9" fontId="0" fillId="0" borderId="0" xfId="8" applyFont="1" applyAlignment="1">
      <alignment horizontal="center" vertical="center"/>
    </xf>
    <xf numFmtId="165" fontId="12" fillId="4" borderId="3" xfId="2" applyNumberFormat="1" applyFont="1" applyFill="1" applyBorder="1" applyAlignment="1" applyProtection="1">
      <alignment horizontal="center" vertical="center" readingOrder="1"/>
    </xf>
    <xf numFmtId="0" fontId="0" fillId="6" borderId="0" xfId="0" applyFill="1" applyAlignment="1">
      <alignment horizontal="center" vertical="center"/>
    </xf>
    <xf numFmtId="0" fontId="0" fillId="0" borderId="0" xfId="0" applyAlignment="1">
      <alignment horizontal="center"/>
    </xf>
    <xf numFmtId="14" fontId="12" fillId="5" borderId="3" xfId="0" applyNumberFormat="1" applyFont="1" applyFill="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14" fontId="12" fillId="5" borderId="0" xfId="0" applyNumberFormat="1" applyFont="1" applyFill="1" applyBorder="1" applyAlignment="1" applyProtection="1">
      <alignment horizontal="right" vertical="center"/>
      <protection locked="0"/>
    </xf>
    <xf numFmtId="0" fontId="25" fillId="0" borderId="16" xfId="0" applyFont="1" applyBorder="1" applyAlignment="1">
      <alignment horizontal="center" vertical="center" wrapText="1"/>
    </xf>
    <xf numFmtId="0" fontId="3" fillId="0" borderId="23"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0" fillId="6" borderId="0" xfId="0" applyFill="1" applyAlignment="1">
      <alignment horizontal="center" vertical="center"/>
    </xf>
    <xf numFmtId="0" fontId="25" fillId="0" borderId="16" xfId="0" applyFont="1" applyBorder="1" applyAlignment="1">
      <alignment horizontal="center" vertical="center" wrapText="1"/>
    </xf>
    <xf numFmtId="0" fontId="3" fillId="0" borderId="23"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25" fillId="0" borderId="16" xfId="0" applyFont="1" applyBorder="1" applyAlignment="1">
      <alignment vertical="center" wrapText="1"/>
    </xf>
    <xf numFmtId="0" fontId="25" fillId="7" borderId="16" xfId="6" applyFont="1" applyFill="1" applyBorder="1" applyAlignment="1">
      <alignment vertical="center" wrapText="1"/>
    </xf>
    <xf numFmtId="49" fontId="0" fillId="0" borderId="0" xfId="0" applyNumberFormat="1"/>
    <xf numFmtId="0" fontId="3" fillId="0" borderId="27" xfId="0" applyFont="1" applyBorder="1" applyAlignment="1" applyProtection="1">
      <alignment vertical="center" wrapText="1"/>
      <protection locked="0"/>
    </xf>
    <xf numFmtId="0" fontId="12" fillId="0" borderId="28" xfId="0" applyFont="1" applyBorder="1" applyAlignment="1" applyProtection="1">
      <alignment horizontal="center" vertical="center"/>
      <protection locked="0"/>
    </xf>
    <xf numFmtId="0" fontId="3" fillId="0" borderId="29" xfId="0" applyFont="1" applyBorder="1" applyAlignment="1" applyProtection="1">
      <alignment vertical="center" wrapText="1"/>
      <protection locked="0"/>
    </xf>
    <xf numFmtId="165" fontId="12" fillId="4" borderId="9" xfId="2" applyNumberFormat="1" applyFont="1" applyFill="1" applyBorder="1" applyAlignment="1" applyProtection="1">
      <alignment horizontal="center" vertical="center" readingOrder="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7" xfId="0" applyFont="1" applyFill="1" applyBorder="1" applyAlignment="1"/>
    <xf numFmtId="0" fontId="5" fillId="2" borderId="18" xfId="0" applyFont="1" applyFill="1" applyBorder="1" applyAlignment="1"/>
    <xf numFmtId="167" fontId="5" fillId="2" borderId="18" xfId="0" applyNumberFormat="1" applyFont="1" applyFill="1" applyBorder="1" applyAlignment="1"/>
    <xf numFmtId="165" fontId="5" fillId="2" borderId="19" xfId="2" applyFont="1" applyFill="1" applyBorder="1" applyAlignment="1"/>
    <xf numFmtId="167" fontId="12" fillId="0" borderId="24" xfId="1" applyNumberFormat="1" applyFont="1" applyBorder="1" applyAlignment="1" applyProtection="1">
      <alignment horizontal="center" vertical="center"/>
      <protection locked="0"/>
    </xf>
    <xf numFmtId="0" fontId="0" fillId="0" borderId="0" xfId="0" applyBorder="1" applyAlignment="1">
      <alignment horizontal="center"/>
    </xf>
    <xf numFmtId="0" fontId="3" fillId="0" borderId="0" xfId="0" applyFont="1" applyBorder="1" applyAlignment="1">
      <alignment horizontal="left"/>
    </xf>
    <xf numFmtId="0" fontId="25" fillId="0" borderId="16" xfId="0" applyFont="1" applyBorder="1" applyAlignment="1">
      <alignment horizontal="center" vertical="center" wrapText="1"/>
    </xf>
    <xf numFmtId="0" fontId="0" fillId="6" borderId="0" xfId="0" applyFill="1" applyAlignment="1">
      <alignment horizontal="center" vertical="center"/>
    </xf>
    <xf numFmtId="0" fontId="3" fillId="0" borderId="29"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protection locked="0"/>
    </xf>
    <xf numFmtId="0" fontId="26" fillId="0" borderId="20" xfId="0" applyFont="1" applyBorder="1" applyAlignment="1">
      <alignment horizontal="right" vertical="center"/>
    </xf>
    <xf numFmtId="0" fontId="26" fillId="0" borderId="8" xfId="0" applyFont="1" applyBorder="1" applyAlignment="1">
      <alignment vertical="center"/>
    </xf>
    <xf numFmtId="0" fontId="26" fillId="0" borderId="8" xfId="0" applyFont="1" applyBorder="1" applyAlignment="1">
      <alignment horizontal="right" vertical="center"/>
    </xf>
    <xf numFmtId="0" fontId="26" fillId="0" borderId="8" xfId="0" applyFont="1" applyBorder="1" applyAlignment="1">
      <alignment horizontal="center" vertical="center"/>
    </xf>
    <xf numFmtId="0" fontId="18" fillId="2" borderId="18" xfId="0" applyFont="1" applyFill="1" applyBorder="1" applyAlignment="1">
      <alignment horizontal="center" vertical="center" wrapText="1"/>
    </xf>
    <xf numFmtId="0" fontId="27" fillId="0" borderId="0" xfId="0" applyFont="1" applyAlignment="1">
      <alignment vertical="center"/>
    </xf>
    <xf numFmtId="0" fontId="12" fillId="0" borderId="11" xfId="0" applyFont="1" applyBorder="1" applyAlignment="1" applyProtection="1">
      <protection locked="0"/>
    </xf>
    <xf numFmtId="0" fontId="0" fillId="0" borderId="0" xfId="0" applyAlignment="1" applyProtection="1">
      <alignment vertical="center"/>
      <protection locked="0"/>
    </xf>
    <xf numFmtId="0" fontId="3" fillId="0" borderId="29" xfId="0" applyFont="1" applyBorder="1" applyAlignment="1" applyProtection="1">
      <alignment vertical="center" wrapText="1"/>
      <protection hidden="1"/>
    </xf>
    <xf numFmtId="0" fontId="3" fillId="0" borderId="27" xfId="0" applyFont="1" applyBorder="1" applyAlignment="1" applyProtection="1">
      <alignment vertical="center" wrapText="1"/>
      <protection hidden="1"/>
    </xf>
    <xf numFmtId="0" fontId="25" fillId="0" borderId="16" xfId="0" applyFont="1" applyBorder="1" applyAlignment="1" applyProtection="1">
      <alignment horizontal="center" vertical="center" wrapText="1"/>
      <protection hidden="1"/>
    </xf>
    <xf numFmtId="0" fontId="13" fillId="0" borderId="9" xfId="0" applyFont="1" applyBorder="1" applyAlignment="1" applyProtection="1">
      <alignment horizontal="right"/>
      <protection hidden="1"/>
    </xf>
    <xf numFmtId="0" fontId="12" fillId="0" borderId="4" xfId="0" applyFont="1" applyBorder="1" applyAlignment="1" applyProtection="1">
      <alignment horizontal="left"/>
      <protection hidden="1"/>
    </xf>
    <xf numFmtId="0" fontId="12" fillId="0" borderId="0" xfId="0" applyFont="1" applyBorder="1" applyAlignment="1" applyProtection="1">
      <alignment horizontal="left"/>
      <protection hidden="1"/>
    </xf>
    <xf numFmtId="0" fontId="0" fillId="0" borderId="0" xfId="0" applyBorder="1" applyAlignment="1" applyProtection="1">
      <protection hidden="1"/>
    </xf>
    <xf numFmtId="0" fontId="16" fillId="0" borderId="0" xfId="0" applyFont="1" applyBorder="1" applyAlignment="1" applyProtection="1">
      <protection hidden="1"/>
    </xf>
    <xf numFmtId="0" fontId="12" fillId="0" borderId="0" xfId="0" applyFont="1" applyBorder="1" applyAlignment="1" applyProtection="1">
      <alignment horizontal="right" vertical="center"/>
      <protection hidden="1"/>
    </xf>
    <xf numFmtId="0" fontId="12" fillId="0" borderId="4" xfId="0" applyFont="1" applyBorder="1" applyAlignment="1" applyProtection="1">
      <protection hidden="1"/>
    </xf>
    <xf numFmtId="0" fontId="12" fillId="0" borderId="0" xfId="0" applyFont="1" applyBorder="1" applyAlignment="1" applyProtection="1">
      <protection hidden="1"/>
    </xf>
    <xf numFmtId="0" fontId="0" fillId="0" borderId="0" xfId="0" applyBorder="1" applyAlignment="1" applyProtection="1">
      <alignment horizontal="left"/>
      <protection hidden="1"/>
    </xf>
    <xf numFmtId="0" fontId="16" fillId="0" borderId="0" xfId="0" applyFont="1" applyBorder="1" applyAlignment="1" applyProtection="1">
      <alignment horizontal="left"/>
      <protection hidden="1"/>
    </xf>
    <xf numFmtId="14" fontId="12" fillId="5" borderId="0" xfId="0" applyNumberFormat="1" applyFont="1" applyFill="1" applyBorder="1" applyAlignment="1" applyProtection="1">
      <alignment horizontal="right" vertical="center"/>
      <protection hidden="1"/>
    </xf>
    <xf numFmtId="0" fontId="0" fillId="0" borderId="3" xfId="0" applyBorder="1" applyProtection="1">
      <protection hidden="1"/>
    </xf>
    <xf numFmtId="0" fontId="0" fillId="0" borderId="4" xfId="0" applyBorder="1" applyProtection="1">
      <protection hidden="1"/>
    </xf>
    <xf numFmtId="0" fontId="0" fillId="0" borderId="0" xfId="0" applyBorder="1" applyProtection="1">
      <protection hidden="1"/>
    </xf>
    <xf numFmtId="167" fontId="12" fillId="4" borderId="3" xfId="2" applyNumberFormat="1" applyFont="1" applyFill="1" applyBorder="1" applyAlignment="1" applyProtection="1">
      <alignment horizontal="center" vertical="center"/>
      <protection hidden="1"/>
    </xf>
    <xf numFmtId="168" fontId="12" fillId="4" borderId="3" xfId="2" applyNumberFormat="1" applyFont="1" applyFill="1" applyBorder="1" applyAlignment="1" applyProtection="1">
      <alignment horizontal="center" vertical="center"/>
      <protection hidden="1"/>
    </xf>
    <xf numFmtId="1" fontId="12" fillId="4" borderId="3" xfId="2" applyNumberFormat="1" applyFont="1" applyFill="1" applyBorder="1" applyAlignment="1" applyProtection="1">
      <alignment horizontal="center" vertical="center"/>
      <protection hidden="1"/>
    </xf>
    <xf numFmtId="0" fontId="12" fillId="0" borderId="4" xfId="0" applyFont="1" applyBorder="1" applyProtection="1">
      <protection hidden="1"/>
    </xf>
    <xf numFmtId="0" fontId="12" fillId="0" borderId="0" xfId="0" applyFont="1" applyBorder="1" applyProtection="1">
      <protection hidden="1"/>
    </xf>
    <xf numFmtId="0" fontId="5" fillId="2" borderId="18" xfId="0" applyFont="1" applyFill="1" applyBorder="1" applyAlignment="1" applyProtection="1">
      <alignment horizontal="center" vertical="center" wrapText="1"/>
      <protection hidden="1"/>
    </xf>
    <xf numFmtId="0" fontId="18" fillId="2" borderId="18" xfId="0" applyFont="1" applyFill="1" applyBorder="1" applyAlignment="1" applyProtection="1">
      <alignment horizontal="center" vertical="center" wrapText="1"/>
      <protection hidden="1"/>
    </xf>
    <xf numFmtId="0" fontId="5" fillId="2" borderId="19" xfId="0" applyFont="1" applyFill="1" applyBorder="1" applyAlignment="1" applyProtection="1">
      <alignment horizontal="center" vertical="center" wrapText="1"/>
      <protection hidden="1"/>
    </xf>
    <xf numFmtId="0" fontId="12" fillId="0" borderId="24" xfId="0" applyFont="1" applyBorder="1" applyAlignment="1" applyProtection="1">
      <alignment horizontal="center" vertical="center"/>
      <protection hidden="1"/>
    </xf>
    <xf numFmtId="167" fontId="12" fillId="0" borderId="24" xfId="1" applyNumberFormat="1" applyFont="1" applyBorder="1" applyAlignment="1" applyProtection="1">
      <alignment horizontal="center" vertical="center"/>
      <protection hidden="1"/>
    </xf>
    <xf numFmtId="165" fontId="12" fillId="4" borderId="9" xfId="2" applyNumberFormat="1" applyFont="1" applyFill="1" applyBorder="1" applyAlignment="1" applyProtection="1">
      <alignment horizontal="center" vertical="center" readingOrder="1"/>
      <protection hidden="1"/>
    </xf>
    <xf numFmtId="0" fontId="12" fillId="0" borderId="23" xfId="0" applyFont="1" applyBorder="1" applyAlignment="1" applyProtection="1">
      <alignment horizontal="center" vertical="center"/>
      <protection hidden="1"/>
    </xf>
    <xf numFmtId="165" fontId="12" fillId="4" borderId="3" xfId="2" applyNumberFormat="1" applyFont="1" applyFill="1" applyBorder="1" applyAlignment="1" applyProtection="1">
      <alignment horizontal="center" vertical="center" readingOrder="1"/>
      <protection hidden="1"/>
    </xf>
    <xf numFmtId="0" fontId="5" fillId="2" borderId="17" xfId="0" applyFont="1" applyFill="1" applyBorder="1" applyAlignment="1" applyProtection="1">
      <protection hidden="1"/>
    </xf>
    <xf numFmtId="0" fontId="5" fillId="2" borderId="18" xfId="0" applyFont="1" applyFill="1" applyBorder="1" applyAlignment="1" applyProtection="1">
      <protection hidden="1"/>
    </xf>
    <xf numFmtId="167" fontId="5" fillId="2" borderId="18" xfId="0" applyNumberFormat="1" applyFont="1" applyFill="1" applyBorder="1" applyAlignment="1" applyProtection="1">
      <protection hidden="1"/>
    </xf>
    <xf numFmtId="165" fontId="5" fillId="2" borderId="19" xfId="2" applyFont="1" applyFill="1" applyBorder="1" applyAlignment="1" applyProtection="1">
      <protection hidden="1"/>
    </xf>
    <xf numFmtId="0" fontId="3" fillId="0" borderId="0" xfId="0" applyFont="1" applyBorder="1" applyAlignment="1" applyProtection="1">
      <alignment horizontal="left" vertical="top"/>
      <protection hidden="1"/>
    </xf>
    <xf numFmtId="0" fontId="0" fillId="0" borderId="0" xfId="0" applyBorder="1" applyAlignment="1" applyProtection="1">
      <alignment vertical="top"/>
      <protection hidden="1"/>
    </xf>
    <xf numFmtId="165" fontId="12" fillId="4" borderId="13" xfId="2" applyFont="1" applyFill="1" applyBorder="1" applyAlignment="1" applyProtection="1">
      <alignment horizontal="right"/>
      <protection hidden="1"/>
    </xf>
    <xf numFmtId="169" fontId="12" fillId="4" borderId="12" xfId="2" applyNumberFormat="1" applyFont="1" applyFill="1" applyBorder="1" applyAlignment="1" applyProtection="1">
      <alignment horizontal="right" vertical="center"/>
      <protection hidden="1"/>
    </xf>
    <xf numFmtId="0" fontId="12" fillId="0" borderId="0" xfId="0" applyFont="1" applyBorder="1" applyAlignment="1" applyProtection="1">
      <alignment vertical="top"/>
      <protection hidden="1"/>
    </xf>
    <xf numFmtId="37" fontId="12" fillId="4" borderId="12" xfId="2" applyNumberFormat="1" applyFont="1" applyFill="1" applyBorder="1" applyAlignment="1" applyProtection="1">
      <alignment horizontal="right" vertical="center"/>
      <protection hidden="1"/>
    </xf>
    <xf numFmtId="0" fontId="0" fillId="0" borderId="6" xfId="0" applyBorder="1" applyAlignment="1" applyProtection="1">
      <alignment vertical="top"/>
      <protection hidden="1"/>
    </xf>
    <xf numFmtId="0" fontId="0" fillId="0" borderId="4" xfId="0" applyBorder="1" applyAlignment="1" applyProtection="1">
      <alignment vertical="top"/>
      <protection hidden="1"/>
    </xf>
    <xf numFmtId="165" fontId="12" fillId="4" borderId="12" xfId="2" applyFont="1" applyFill="1" applyBorder="1" applyAlignment="1" applyProtection="1">
      <alignment horizontal="right" vertical="center"/>
      <protection hidden="1"/>
    </xf>
    <xf numFmtId="0" fontId="3" fillId="0" borderId="0" xfId="0" applyFont="1" applyBorder="1" applyAlignment="1" applyProtection="1">
      <alignment horizontal="left"/>
      <protection hidden="1"/>
    </xf>
    <xf numFmtId="165" fontId="11" fillId="0" borderId="3" xfId="0" applyNumberFormat="1" applyFont="1" applyBorder="1" applyAlignment="1" applyProtection="1">
      <alignment horizontal="center" vertical="top"/>
      <protection hidden="1"/>
    </xf>
    <xf numFmtId="0" fontId="0" fillId="0" borderId="0" xfId="0" applyBorder="1" applyAlignment="1" applyProtection="1">
      <alignment horizontal="center"/>
      <protection hidden="1"/>
    </xf>
    <xf numFmtId="0" fontId="3" fillId="0" borderId="3" xfId="0" applyFont="1" applyBorder="1" applyAlignment="1" applyProtection="1">
      <alignment horizontal="center" vertical="top"/>
      <protection hidden="1"/>
    </xf>
    <xf numFmtId="0" fontId="5" fillId="3" borderId="4" xfId="0" applyFont="1" applyFill="1" applyBorder="1" applyAlignment="1" applyProtection="1">
      <protection hidden="1"/>
    </xf>
    <xf numFmtId="0" fontId="5" fillId="3" borderId="0" xfId="0" applyFont="1" applyFill="1" applyBorder="1" applyAlignment="1" applyProtection="1">
      <protection hidden="1"/>
    </xf>
    <xf numFmtId="0" fontId="3" fillId="3" borderId="3" xfId="0" applyFont="1" applyFill="1" applyBorder="1" applyAlignment="1" applyProtection="1">
      <alignment horizontal="center" vertical="top"/>
      <protection hidden="1"/>
    </xf>
    <xf numFmtId="0" fontId="3" fillId="0" borderId="4" xfId="0" applyFont="1" applyBorder="1" applyProtection="1">
      <protection hidden="1"/>
    </xf>
    <xf numFmtId="0" fontId="3" fillId="0" borderId="0" xfId="0" applyFont="1" applyBorder="1" applyProtection="1">
      <protection hidden="1"/>
    </xf>
    <xf numFmtId="0" fontId="3" fillId="0" borderId="4" xfId="0" applyFont="1" applyBorder="1" applyAlignment="1" applyProtection="1">
      <alignment horizontal="left" vertical="top"/>
      <protection hidden="1"/>
    </xf>
    <xf numFmtId="0" fontId="0" fillId="0" borderId="0" xfId="0" applyBorder="1" applyAlignment="1" applyProtection="1">
      <alignment horizontal="left" vertical="top"/>
      <protection hidden="1"/>
    </xf>
    <xf numFmtId="0" fontId="0" fillId="0" borderId="4" xfId="0" applyBorder="1" applyAlignment="1" applyProtection="1">
      <alignment horizontal="left" vertical="top"/>
      <protection hidden="1"/>
    </xf>
    <xf numFmtId="0" fontId="0" fillId="0" borderId="0" xfId="0" applyBorder="1" applyAlignment="1" applyProtection="1">
      <alignment horizontal="left" vertical="top" wrapText="1"/>
      <protection hidden="1"/>
    </xf>
    <xf numFmtId="0" fontId="0" fillId="0" borderId="6" xfId="0" applyBorder="1" applyAlignment="1" applyProtection="1">
      <alignment horizontal="left" vertical="top"/>
      <protection hidden="1"/>
    </xf>
    <xf numFmtId="0" fontId="0" fillId="0" borderId="1" xfId="0" applyBorder="1" applyAlignment="1" applyProtection="1">
      <alignment horizontal="left" vertical="top"/>
      <protection hidden="1"/>
    </xf>
    <xf numFmtId="0" fontId="0" fillId="0" borderId="7" xfId="0" applyBorder="1" applyAlignment="1" applyProtection="1">
      <alignment horizontal="left"/>
      <protection hidden="1"/>
    </xf>
    <xf numFmtId="0" fontId="0" fillId="0" borderId="7" xfId="0" applyBorder="1" applyProtection="1">
      <protection hidden="1"/>
    </xf>
    <xf numFmtId="0" fontId="3" fillId="0" borderId="8" xfId="0" applyFont="1" applyBorder="1" applyAlignment="1" applyProtection="1">
      <alignment horizontal="center" vertical="top"/>
      <protection hidden="1"/>
    </xf>
    <xf numFmtId="0" fontId="12" fillId="0" borderId="24" xfId="0" applyFont="1" applyBorder="1" applyAlignment="1" applyProtection="1">
      <alignment horizontal="center" vertical="center"/>
      <protection locked="0" hidden="1"/>
    </xf>
    <xf numFmtId="0" fontId="5" fillId="2" borderId="2" xfId="0" applyFont="1" applyFill="1" applyBorder="1" applyAlignment="1" applyProtection="1">
      <alignment horizontal="center" vertical="center" wrapText="1"/>
      <protection hidden="1"/>
    </xf>
    <xf numFmtId="0" fontId="3" fillId="8" borderId="30" xfId="0" applyFont="1" applyFill="1" applyBorder="1" applyAlignment="1" applyProtection="1">
      <alignment horizontal="center" vertical="center" wrapText="1"/>
      <protection locked="0" hidden="1"/>
    </xf>
    <xf numFmtId="0" fontId="19" fillId="8" borderId="0" xfId="0" applyFont="1" applyFill="1" applyAlignment="1" applyProtection="1">
      <alignment vertical="center"/>
      <protection locked="0"/>
    </xf>
    <xf numFmtId="0" fontId="0" fillId="8" borderId="0" xfId="0" applyFill="1" applyAlignment="1" applyProtection="1">
      <alignment vertical="center"/>
      <protection locked="0"/>
    </xf>
    <xf numFmtId="0" fontId="0" fillId="8" borderId="2" xfId="0" applyFill="1" applyBorder="1" applyProtection="1">
      <protection hidden="1"/>
    </xf>
    <xf numFmtId="0" fontId="3" fillId="8" borderId="31" xfId="0" applyFont="1" applyFill="1" applyBorder="1" applyAlignment="1" applyProtection="1">
      <alignment horizontal="center" vertical="center" wrapText="1"/>
      <protection locked="0" hidden="1"/>
    </xf>
    <xf numFmtId="0" fontId="3" fillId="8" borderId="32" xfId="0" applyFont="1" applyFill="1" applyBorder="1" applyAlignment="1" applyProtection="1">
      <alignment horizontal="center" vertical="center" wrapText="1"/>
      <protection locked="0" hidden="1"/>
    </xf>
    <xf numFmtId="14" fontId="12" fillId="8" borderId="3" xfId="0" applyNumberFormat="1" applyFont="1" applyFill="1" applyBorder="1" applyAlignment="1" applyProtection="1">
      <alignment horizontal="left" vertical="center"/>
      <protection locked="0" hidden="1"/>
    </xf>
    <xf numFmtId="0" fontId="12" fillId="8" borderId="24" xfId="0" applyFont="1" applyFill="1" applyBorder="1" applyAlignment="1" applyProtection="1">
      <alignment horizontal="center" vertical="center"/>
      <protection locked="0" hidden="1"/>
    </xf>
    <xf numFmtId="0" fontId="12" fillId="8" borderId="23" xfId="0" applyFont="1" applyFill="1" applyBorder="1" applyAlignment="1" applyProtection="1">
      <alignment horizontal="center" vertical="center"/>
      <protection locked="0" hidden="1"/>
    </xf>
    <xf numFmtId="2" fontId="4" fillId="8" borderId="0" xfId="8" applyNumberFormat="1" applyFont="1" applyFill="1" applyAlignment="1" applyProtection="1">
      <alignment horizontal="center" vertical="center"/>
      <protection locked="0"/>
    </xf>
    <xf numFmtId="2" fontId="0" fillId="8" borderId="0" xfId="0" applyNumberFormat="1" applyFill="1" applyAlignment="1" applyProtection="1">
      <alignment horizontal="center"/>
      <protection locked="0"/>
    </xf>
    <xf numFmtId="171" fontId="0" fillId="0" borderId="0" xfId="0" applyNumberFormat="1" applyAlignment="1">
      <alignment vertical="center"/>
    </xf>
    <xf numFmtId="0" fontId="5" fillId="2" borderId="17" xfId="0" applyFont="1" applyFill="1" applyBorder="1" applyAlignment="1" applyProtection="1">
      <alignment horizontal="left"/>
      <protection hidden="1"/>
    </xf>
    <xf numFmtId="0" fontId="5" fillId="2" borderId="18" xfId="0" applyFont="1" applyFill="1" applyBorder="1" applyAlignment="1" applyProtection="1">
      <alignment horizontal="left"/>
      <protection hidden="1"/>
    </xf>
    <xf numFmtId="0" fontId="5" fillId="2" borderId="19" xfId="0" applyFont="1" applyFill="1" applyBorder="1" applyAlignment="1" applyProtection="1">
      <alignment horizontal="left"/>
      <protection hidden="1"/>
    </xf>
    <xf numFmtId="0" fontId="0" fillId="6" borderId="0" xfId="0" applyFill="1" applyAlignment="1">
      <alignment horizontal="center" vertical="center"/>
    </xf>
    <xf numFmtId="2" fontId="4" fillId="8" borderId="0" xfId="8" applyNumberFormat="1" applyFont="1" applyFill="1" applyAlignment="1" applyProtection="1">
      <alignment horizontal="center" vertical="center"/>
      <protection locked="0"/>
    </xf>
    <xf numFmtId="0" fontId="0" fillId="0" borderId="0" xfId="0" applyFill="1"/>
    <xf numFmtId="0" fontId="0" fillId="0" borderId="0" xfId="0" applyFill="1" applyBorder="1"/>
    <xf numFmtId="170" fontId="0" fillId="0" borderId="0" xfId="0" applyNumberFormat="1" applyFill="1" applyAlignment="1">
      <alignment vertical="center"/>
    </xf>
    <xf numFmtId="0" fontId="0" fillId="0" borderId="0" xfId="0" applyFill="1" applyAlignment="1">
      <alignment vertical="center"/>
    </xf>
    <xf numFmtId="0" fontId="0" fillId="0" borderId="0" xfId="0" applyFill="1" applyAlignment="1">
      <alignment horizontal="center"/>
    </xf>
    <xf numFmtId="0" fontId="29" fillId="9" borderId="49" xfId="0" applyFont="1" applyFill="1" applyBorder="1" applyAlignment="1" applyProtection="1">
      <alignment horizontal="center" vertical="center" wrapText="1"/>
      <protection locked="0"/>
    </xf>
    <xf numFmtId="49" fontId="3" fillId="0" borderId="11" xfId="0" applyNumberFormat="1" applyFont="1" applyFill="1" applyBorder="1" applyAlignment="1">
      <alignment horizontal="center" vertical="center"/>
    </xf>
    <xf numFmtId="0" fontId="25" fillId="8" borderId="16" xfId="0" applyFont="1" applyFill="1" applyBorder="1" applyAlignment="1" applyProtection="1">
      <alignment horizontal="center" vertical="center" wrapText="1"/>
      <protection locked="0" hidden="1"/>
    </xf>
    <xf numFmtId="14" fontId="12" fillId="8" borderId="0" xfId="0" applyNumberFormat="1" applyFont="1" applyFill="1" applyBorder="1" applyAlignment="1" applyProtection="1">
      <alignment horizontal="center" vertical="center"/>
      <protection locked="0" hidden="1"/>
    </xf>
    <xf numFmtId="14" fontId="12" fillId="8" borderId="3" xfId="0" applyNumberFormat="1" applyFont="1" applyFill="1" applyBorder="1" applyAlignment="1" applyProtection="1">
      <alignment horizontal="center" vertical="center"/>
      <protection locked="0" hidden="1"/>
    </xf>
    <xf numFmtId="0" fontId="0" fillId="0" borderId="0" xfId="0" applyBorder="1" applyAlignment="1" applyProtection="1">
      <alignment horizontal="right"/>
      <protection hidden="1"/>
    </xf>
    <xf numFmtId="0" fontId="0" fillId="0" borderId="0"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12" fillId="8" borderId="4" xfId="0" applyFont="1" applyFill="1" applyBorder="1" applyAlignment="1" applyProtection="1">
      <alignment horizontal="left"/>
      <protection locked="0" hidden="1"/>
    </xf>
    <xf numFmtId="0" fontId="12" fillId="8" borderId="0" xfId="0" applyFont="1" applyFill="1" applyBorder="1" applyAlignment="1" applyProtection="1">
      <alignment horizontal="left"/>
      <protection locked="0" hidden="1"/>
    </xf>
    <xf numFmtId="0" fontId="7" fillId="0" borderId="0" xfId="0" applyFont="1" applyBorder="1" applyAlignment="1" applyProtection="1">
      <alignment horizontal="center" vertical="center" wrapText="1"/>
      <protection hidden="1"/>
    </xf>
    <xf numFmtId="0" fontId="12" fillId="0" borderId="4" xfId="0" applyFont="1" applyBorder="1" applyAlignment="1" applyProtection="1">
      <alignment horizontal="left"/>
      <protection hidden="1"/>
    </xf>
    <xf numFmtId="0" fontId="12" fillId="0" borderId="0" xfId="0" applyFont="1" applyBorder="1" applyAlignment="1" applyProtection="1">
      <alignment horizontal="left"/>
      <protection hidden="1"/>
    </xf>
    <xf numFmtId="0" fontId="0" fillId="6" borderId="0" xfId="0" applyFill="1" applyAlignment="1">
      <alignment horizontal="center" vertical="center"/>
    </xf>
    <xf numFmtId="0" fontId="5" fillId="2" borderId="18" xfId="0" applyFont="1" applyFill="1" applyBorder="1" applyAlignment="1" applyProtection="1">
      <alignment horizontal="center" vertical="center" wrapText="1"/>
      <protection hidden="1"/>
    </xf>
    <xf numFmtId="0" fontId="16" fillId="0" borderId="29" xfId="0" applyFont="1" applyBorder="1" applyAlignment="1" applyProtection="1">
      <alignment vertical="center"/>
      <protection hidden="1"/>
    </xf>
    <xf numFmtId="0" fontId="16" fillId="0" borderId="33" xfId="0" applyFont="1" applyBorder="1" applyAlignment="1" applyProtection="1">
      <alignment vertical="center"/>
      <protection hidden="1"/>
    </xf>
    <xf numFmtId="0" fontId="16" fillId="0" borderId="34" xfId="0" applyFont="1" applyBorder="1" applyAlignment="1" applyProtection="1">
      <alignment vertical="center"/>
      <protection hidden="1"/>
    </xf>
    <xf numFmtId="0" fontId="3" fillId="0" borderId="29"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16" fillId="0" borderId="27"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16" fillId="0" borderId="36" xfId="0" applyFont="1" applyBorder="1" applyAlignment="1" applyProtection="1">
      <alignment vertical="center"/>
      <protection hidden="1"/>
    </xf>
    <xf numFmtId="0" fontId="3" fillId="0" borderId="27" xfId="0" applyFont="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0" fontId="0" fillId="0" borderId="4" xfId="0" applyBorder="1" applyAlignment="1" applyProtection="1">
      <alignment horizontal="left"/>
      <protection hidden="1"/>
    </xf>
    <xf numFmtId="0" fontId="0" fillId="0" borderId="0" xfId="0" applyBorder="1" applyAlignment="1" applyProtection="1">
      <alignment horizontal="left"/>
      <protection hidden="1"/>
    </xf>
    <xf numFmtId="0" fontId="3" fillId="0" borderId="0" xfId="0" applyFont="1" applyBorder="1" applyAlignment="1" applyProtection="1">
      <alignment horizontal="left" vertical="top"/>
      <protection hidden="1"/>
    </xf>
    <xf numFmtId="0" fontId="8" fillId="0" borderId="0" xfId="0" applyFont="1" applyBorder="1" applyAlignment="1" applyProtection="1">
      <alignment horizontal="center" vertical="top"/>
      <protection hidden="1"/>
    </xf>
    <xf numFmtId="0" fontId="8" fillId="0" borderId="10" xfId="0" applyFont="1" applyBorder="1" applyAlignment="1" applyProtection="1">
      <alignment horizontal="center" vertical="top"/>
      <protection hidden="1"/>
    </xf>
    <xf numFmtId="0" fontId="3" fillId="8" borderId="0" xfId="0" applyFont="1" applyFill="1" applyBorder="1" applyAlignment="1" applyProtection="1">
      <alignment horizontal="left" vertical="top"/>
      <protection locked="0" hidden="1"/>
    </xf>
    <xf numFmtId="0" fontId="9" fillId="0" borderId="0" xfId="0" applyFont="1" applyBorder="1" applyAlignment="1" applyProtection="1">
      <alignment horizontal="center" vertical="top"/>
      <protection hidden="1"/>
    </xf>
    <xf numFmtId="0" fontId="9" fillId="0" borderId="10" xfId="0" applyFont="1" applyBorder="1" applyAlignment="1" applyProtection="1">
      <alignment horizontal="center" vertical="top"/>
      <protection hidden="1"/>
    </xf>
    <xf numFmtId="0" fontId="0" fillId="0" borderId="4" xfId="0"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21" xfId="0" applyBorder="1" applyAlignment="1" applyProtection="1">
      <alignment horizontal="left"/>
      <protection hidden="1"/>
    </xf>
    <xf numFmtId="0" fontId="0" fillId="0" borderId="7" xfId="0" applyBorder="1" applyAlignment="1" applyProtection="1">
      <alignment horizontal="left"/>
      <protection hidden="1"/>
    </xf>
    <xf numFmtId="0" fontId="0" fillId="0" borderId="0" xfId="0" applyBorder="1" applyAlignment="1" applyProtection="1">
      <alignment horizontal="center" vertical="top"/>
      <protection hidden="1"/>
    </xf>
    <xf numFmtId="0" fontId="0" fillId="0" borderId="10" xfId="0" applyBorder="1" applyAlignment="1" applyProtection="1">
      <alignment horizontal="center" vertical="top"/>
      <protection hidden="1"/>
    </xf>
    <xf numFmtId="0" fontId="10" fillId="0" borderId="0"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3" fillId="0" borderId="17" xfId="0" applyFont="1" applyFill="1" applyBorder="1" applyAlignment="1" applyProtection="1">
      <alignment horizontal="right"/>
      <protection hidden="1"/>
    </xf>
    <xf numFmtId="0" fontId="3" fillId="0" borderId="18" xfId="0" applyFont="1" applyFill="1" applyBorder="1" applyAlignment="1" applyProtection="1">
      <alignment horizontal="right"/>
      <protection hidden="1"/>
    </xf>
    <xf numFmtId="0" fontId="3" fillId="0" borderId="18" xfId="0" applyFont="1" applyBorder="1" applyAlignment="1" applyProtection="1">
      <alignment horizontal="left"/>
      <protection hidden="1"/>
    </xf>
    <xf numFmtId="0" fontId="3" fillId="0" borderId="19" xfId="0" applyFont="1" applyBorder="1" applyAlignment="1" applyProtection="1">
      <alignment horizontal="left"/>
      <protection hidden="1"/>
    </xf>
    <xf numFmtId="0" fontId="0" fillId="0" borderId="2" xfId="0" applyBorder="1" applyAlignment="1" applyProtection="1">
      <alignment horizontal="center"/>
      <protection hidden="1"/>
    </xf>
    <xf numFmtId="0" fontId="0" fillId="0" borderId="16" xfId="0" applyBorder="1" applyAlignment="1" applyProtection="1">
      <alignment horizontal="center"/>
      <protection hidden="1"/>
    </xf>
    <xf numFmtId="0" fontId="33" fillId="6" borderId="39" xfId="0" applyFont="1" applyFill="1" applyBorder="1" applyAlignment="1">
      <alignment horizontal="center" vertical="center"/>
    </xf>
    <xf numFmtId="0" fontId="33" fillId="6" borderId="46" xfId="0" applyFont="1" applyFill="1" applyBorder="1" applyAlignment="1">
      <alignment horizontal="center" vertical="center"/>
    </xf>
    <xf numFmtId="0" fontId="33" fillId="6" borderId="40" xfId="0" applyFont="1" applyFill="1" applyBorder="1" applyAlignment="1">
      <alignment horizontal="center" vertical="center"/>
    </xf>
    <xf numFmtId="0" fontId="22" fillId="0" borderId="38" xfId="0" applyFont="1" applyFill="1" applyBorder="1" applyAlignment="1" applyProtection="1">
      <alignment horizontal="center" vertical="center" readingOrder="2"/>
      <protection locked="0"/>
    </xf>
    <xf numFmtId="0" fontId="22" fillId="0" borderId="39" xfId="0" applyFont="1" applyFill="1" applyBorder="1" applyAlignment="1" applyProtection="1">
      <alignment horizontal="center" vertical="center" readingOrder="2"/>
      <protection locked="0"/>
    </xf>
    <xf numFmtId="0" fontId="30" fillId="10" borderId="11" xfId="0" applyFont="1" applyFill="1" applyBorder="1" applyAlignment="1">
      <alignment horizontal="right" vertical="center"/>
    </xf>
    <xf numFmtId="0" fontId="31" fillId="10" borderId="11" xfId="0" applyFont="1" applyFill="1" applyBorder="1" applyAlignment="1">
      <alignment horizontal="right" vertical="center" wrapText="1"/>
    </xf>
    <xf numFmtId="0" fontId="31" fillId="10" borderId="11" xfId="0" applyFont="1" applyFill="1" applyBorder="1" applyAlignment="1">
      <alignment horizontal="right" vertical="center"/>
    </xf>
    <xf numFmtId="0" fontId="22" fillId="0" borderId="41" xfId="0" applyFont="1" applyFill="1" applyBorder="1" applyAlignment="1" applyProtection="1">
      <alignment horizontal="center" vertical="center" readingOrder="2"/>
      <protection locked="0"/>
    </xf>
    <xf numFmtId="0" fontId="22" fillId="0" borderId="11" xfId="0" applyFont="1" applyFill="1" applyBorder="1" applyAlignment="1" applyProtection="1">
      <alignment horizontal="center" vertical="center" readingOrder="2"/>
      <protection locked="0"/>
    </xf>
    <xf numFmtId="0" fontId="22" fillId="0" borderId="42" xfId="0" applyFont="1" applyFill="1" applyBorder="1" applyAlignment="1" applyProtection="1">
      <alignment horizontal="center" vertical="center" readingOrder="2"/>
      <protection locked="0"/>
    </xf>
    <xf numFmtId="0" fontId="22" fillId="0" borderId="43" xfId="0" applyFont="1" applyFill="1" applyBorder="1" applyAlignment="1" applyProtection="1">
      <alignment horizontal="center" vertical="center" readingOrder="2"/>
      <protection locked="0"/>
    </xf>
    <xf numFmtId="0" fontId="33" fillId="6" borderId="11" xfId="0" applyFont="1" applyFill="1" applyBorder="1" applyAlignment="1">
      <alignment horizontal="center" vertical="center"/>
    </xf>
    <xf numFmtId="0" fontId="33" fillId="6" borderId="45" xfId="0" applyFont="1" applyFill="1" applyBorder="1" applyAlignment="1">
      <alignment horizontal="center" vertical="center"/>
    </xf>
    <xf numFmtId="0" fontId="33" fillId="6" borderId="12" xfId="0" applyFont="1" applyFill="1" applyBorder="1" applyAlignment="1">
      <alignment horizontal="center" vertical="center"/>
    </xf>
    <xf numFmtId="0" fontId="33" fillId="6" borderId="43" xfId="0" applyFont="1" applyFill="1" applyBorder="1" applyAlignment="1">
      <alignment horizontal="center" vertical="center"/>
    </xf>
    <xf numFmtId="0" fontId="33" fillId="6" borderId="47" xfId="0" applyFont="1" applyFill="1" applyBorder="1" applyAlignment="1">
      <alignment horizontal="center" vertical="center"/>
    </xf>
    <xf numFmtId="0" fontId="33" fillId="6" borderId="44" xfId="0" applyFont="1" applyFill="1" applyBorder="1" applyAlignment="1">
      <alignment horizontal="center" vertical="center"/>
    </xf>
    <xf numFmtId="0" fontId="0" fillId="0" borderId="48" xfId="0" applyFill="1" applyBorder="1" applyAlignment="1">
      <alignment horizontal="center"/>
    </xf>
    <xf numFmtId="0" fontId="20" fillId="0" borderId="21" xfId="0" applyFont="1" applyFill="1" applyBorder="1" applyAlignment="1" applyProtection="1">
      <alignment horizontal="right" vertical="center" wrapText="1" readingOrder="2"/>
      <protection locked="0"/>
    </xf>
    <xf numFmtId="0" fontId="20" fillId="0" borderId="7" xfId="0" applyFont="1" applyFill="1" applyBorder="1" applyAlignment="1" applyProtection="1">
      <alignment horizontal="right" vertical="center" wrapText="1" readingOrder="2"/>
      <protection locked="0"/>
    </xf>
    <xf numFmtId="0" fontId="20" fillId="0" borderId="8" xfId="0" applyFont="1" applyFill="1" applyBorder="1" applyAlignment="1" applyProtection="1">
      <alignment horizontal="right" vertical="center" wrapText="1" readingOrder="2"/>
      <protection locked="0"/>
    </xf>
    <xf numFmtId="0" fontId="3" fillId="0" borderId="0" xfId="0" applyFont="1" applyBorder="1" applyAlignment="1" applyProtection="1">
      <alignment horizontal="left" vertical="top"/>
      <protection locked="0"/>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1" xfId="0" applyBorder="1" applyAlignment="1">
      <alignment horizontal="left"/>
    </xf>
    <xf numFmtId="0" fontId="0" fillId="0" borderId="7" xfId="0" applyBorder="1" applyAlignment="1">
      <alignment horizontal="left"/>
    </xf>
    <xf numFmtId="0" fontId="0" fillId="0" borderId="0" xfId="0"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10" fillId="0" borderId="0" xfId="0" applyFont="1" applyBorder="1" applyAlignment="1">
      <alignment horizontal="center"/>
    </xf>
    <xf numFmtId="0" fontId="10" fillId="0" borderId="10" xfId="0" applyFont="1" applyBorder="1" applyAlignment="1">
      <alignment horizontal="center"/>
    </xf>
    <xf numFmtId="0" fontId="3" fillId="0" borderId="17" xfId="0" applyFont="1" applyFill="1" applyBorder="1" applyAlignment="1" applyProtection="1">
      <alignment horizontal="right"/>
      <protection locked="0"/>
    </xf>
    <xf numFmtId="0" fontId="3" fillId="0" borderId="18" xfId="0" applyFont="1" applyFill="1" applyBorder="1" applyAlignment="1" applyProtection="1">
      <alignment horizontal="right"/>
      <protection locked="0"/>
    </xf>
    <xf numFmtId="0" fontId="3" fillId="0" borderId="18" xfId="0" applyFont="1" applyBorder="1" applyAlignment="1">
      <alignment horizontal="left"/>
    </xf>
    <xf numFmtId="0" fontId="3" fillId="0" borderId="19" xfId="0" applyFont="1" applyBorder="1" applyAlignment="1">
      <alignment horizontal="left"/>
    </xf>
    <xf numFmtId="0" fontId="0" fillId="0" borderId="2" xfId="0" applyBorder="1" applyAlignment="1">
      <alignment horizontal="center"/>
    </xf>
    <xf numFmtId="0" fontId="0" fillId="0" borderId="16" xfId="0"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9" fillId="0" borderId="0" xfId="0" applyFont="1" applyBorder="1" applyAlignment="1" applyProtection="1">
      <alignment horizontal="center" vertical="top"/>
      <protection locked="0"/>
    </xf>
    <xf numFmtId="0" fontId="9" fillId="0" borderId="10" xfId="0" applyFont="1" applyBorder="1" applyAlignment="1" applyProtection="1">
      <alignment horizontal="center" vertical="top"/>
      <protection locked="0"/>
    </xf>
    <xf numFmtId="0" fontId="16" fillId="0" borderId="27" xfId="0" applyFont="1" applyBorder="1" applyAlignment="1" applyProtection="1">
      <alignment vertical="center"/>
      <protection locked="0"/>
    </xf>
    <xf numFmtId="0" fontId="16" fillId="0" borderId="35" xfId="0" applyFont="1" applyBorder="1" applyAlignment="1" applyProtection="1">
      <alignment vertical="center"/>
      <protection locked="0"/>
    </xf>
    <xf numFmtId="0" fontId="16" fillId="0" borderId="36" xfId="0" applyFont="1" applyBorder="1" applyAlignment="1" applyProtection="1">
      <alignment vertical="center"/>
      <protection locked="0"/>
    </xf>
    <xf numFmtId="0" fontId="3" fillId="0" borderId="27"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8" fillId="0" borderId="0" xfId="0" applyFont="1" applyBorder="1" applyAlignment="1" applyProtection="1">
      <alignment horizontal="center" vertical="top"/>
      <protection locked="0"/>
    </xf>
    <xf numFmtId="0" fontId="8" fillId="0" borderId="10" xfId="0" applyFont="1" applyBorder="1" applyAlignment="1" applyProtection="1">
      <alignment horizontal="center" vertical="top"/>
      <protection locked="0"/>
    </xf>
    <xf numFmtId="0" fontId="12" fillId="0" borderId="4"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7" fillId="0" borderId="0" xfId="0" applyFont="1" applyBorder="1" applyAlignment="1">
      <alignment horizontal="center" vertical="center" wrapText="1"/>
    </xf>
    <xf numFmtId="0" fontId="5" fillId="2" borderId="18" xfId="0" applyFont="1" applyFill="1" applyBorder="1" applyAlignment="1">
      <alignment horizontal="center" vertical="center" wrapText="1"/>
    </xf>
    <xf numFmtId="0" fontId="16" fillId="0" borderId="29" xfId="0" applyFont="1" applyBorder="1" applyAlignment="1" applyProtection="1">
      <alignment vertical="center"/>
      <protection locked="0"/>
    </xf>
    <xf numFmtId="0" fontId="16" fillId="0" borderId="33" xfId="0" applyFont="1" applyBorder="1" applyAlignment="1" applyProtection="1">
      <alignment vertical="center"/>
      <protection locked="0"/>
    </xf>
    <xf numFmtId="0" fontId="16" fillId="0" borderId="34" xfId="0" applyFont="1" applyBorder="1" applyAlignment="1" applyProtection="1">
      <alignment vertical="center"/>
      <protection locked="0"/>
    </xf>
    <xf numFmtId="0" fontId="3" fillId="0" borderId="29"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25" fillId="0" borderId="16" xfId="0" applyFont="1" applyBorder="1" applyAlignment="1">
      <alignment horizontal="center" vertical="center" wrapText="1"/>
    </xf>
    <xf numFmtId="14" fontId="12" fillId="5" borderId="0" xfId="0" applyNumberFormat="1" applyFont="1" applyFill="1" applyBorder="1" applyAlignment="1" applyProtection="1">
      <alignment horizontal="center" vertical="center"/>
      <protection locked="0"/>
    </xf>
    <xf numFmtId="14" fontId="12" fillId="5" borderId="3" xfId="0" applyNumberFormat="1" applyFont="1" applyFill="1" applyBorder="1" applyAlignment="1" applyProtection="1">
      <alignment horizontal="center" vertical="center"/>
      <protection locked="0"/>
    </xf>
    <xf numFmtId="0" fontId="0" fillId="0" borderId="0" xfId="0" applyBorder="1" applyAlignment="1" applyProtection="1">
      <alignment horizontal="right"/>
      <protection locked="0"/>
    </xf>
    <xf numFmtId="0" fontId="0" fillId="0" borderId="0"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5" fillId="2" borderId="37" xfId="0" applyFont="1" applyFill="1" applyBorder="1" applyAlignment="1">
      <alignment horizontal="center" vertical="center" wrapText="1"/>
    </xf>
    <xf numFmtId="0" fontId="0" fillId="0" borderId="0" xfId="0" applyAlignment="1">
      <alignment horizontal="center"/>
    </xf>
    <xf numFmtId="0" fontId="3" fillId="0" borderId="11" xfId="0" applyFont="1" applyFill="1" applyBorder="1" applyAlignment="1">
      <alignment horizontal="center" vertical="center"/>
    </xf>
    <xf numFmtId="3" fontId="28" fillId="6" borderId="11" xfId="0" applyNumberFormat="1" applyFont="1" applyFill="1" applyBorder="1" applyAlignment="1">
      <alignment horizontal="center" vertical="center" wrapText="1"/>
    </xf>
    <xf numFmtId="1" fontId="28" fillId="0" borderId="11" xfId="0" applyNumberFormat="1" applyFont="1" applyFill="1" applyBorder="1" applyAlignment="1" applyProtection="1">
      <alignment horizontal="center" vertical="center" wrapText="1"/>
      <protection locked="0"/>
    </xf>
    <xf numFmtId="0" fontId="35" fillId="0" borderId="11" xfId="0" applyFont="1" applyFill="1" applyBorder="1" applyAlignment="1" applyProtection="1">
      <alignment horizontal="left" vertical="center" wrapText="1"/>
      <protection locked="0"/>
    </xf>
    <xf numFmtId="0" fontId="35" fillId="0" borderId="11" xfId="0" applyFont="1" applyFill="1" applyBorder="1" applyAlignment="1" applyProtection="1">
      <alignment horizontal="center" vertical="center" wrapText="1"/>
      <protection locked="0"/>
    </xf>
    <xf numFmtId="39" fontId="11" fillId="0" borderId="50" xfId="1" applyNumberFormat="1" applyFont="1" applyFill="1" applyBorder="1" applyAlignment="1" applyProtection="1">
      <alignment horizontal="center" vertical="center"/>
      <protection locked="0"/>
    </xf>
    <xf numFmtId="0" fontId="20" fillId="0" borderId="51" xfId="0" applyFont="1" applyFill="1" applyBorder="1" applyAlignment="1" applyProtection="1">
      <alignment horizontal="right" vertical="center" readingOrder="2"/>
      <protection locked="0"/>
    </xf>
    <xf numFmtId="37" fontId="12" fillId="6" borderId="51" xfId="2" applyNumberFormat="1" applyFont="1" applyFill="1" applyBorder="1" applyAlignment="1" applyProtection="1">
      <alignment horizontal="center" vertical="center"/>
      <protection locked="0"/>
    </xf>
    <xf numFmtId="0" fontId="12" fillId="0" borderId="51" xfId="0" applyFont="1" applyFill="1" applyBorder="1" applyAlignment="1" applyProtection="1">
      <alignment vertical="center" readingOrder="2"/>
      <protection locked="0"/>
    </xf>
    <xf numFmtId="0" fontId="21" fillId="0" borderId="51" xfId="0" applyFont="1" applyFill="1" applyBorder="1" applyAlignment="1" applyProtection="1">
      <alignment horizontal="left" vertical="center"/>
      <protection locked="0"/>
    </xf>
    <xf numFmtId="0" fontId="9" fillId="0" borderId="52" xfId="0" applyFont="1" applyFill="1" applyBorder="1" applyAlignment="1" applyProtection="1">
      <alignment vertical="center"/>
      <protection locked="0"/>
    </xf>
    <xf numFmtId="172" fontId="28" fillId="0" borderId="38" xfId="1" applyNumberFormat="1" applyFont="1" applyFill="1" applyBorder="1" applyAlignment="1" applyProtection="1">
      <alignment horizontal="center" vertical="center" wrapText="1"/>
      <protection locked="0"/>
    </xf>
    <xf numFmtId="0" fontId="3" fillId="0" borderId="39" xfId="0" applyFont="1" applyFill="1" applyBorder="1" applyAlignment="1">
      <alignment horizontal="center" vertical="center"/>
    </xf>
    <xf numFmtId="3" fontId="28" fillId="6" borderId="39" xfId="0" applyNumberFormat="1" applyFont="1" applyFill="1" applyBorder="1" applyAlignment="1">
      <alignment horizontal="center" vertical="center" wrapText="1"/>
    </xf>
    <xf numFmtId="1" fontId="28" fillId="0" borderId="39" xfId="0" applyNumberFormat="1" applyFont="1" applyFill="1" applyBorder="1" applyAlignment="1" applyProtection="1">
      <alignment horizontal="center" vertical="center" wrapText="1"/>
      <protection locked="0"/>
    </xf>
    <xf numFmtId="0" fontId="35" fillId="0" borderId="39" xfId="0" applyFont="1" applyFill="1" applyBorder="1" applyAlignment="1" applyProtection="1">
      <alignment horizontal="left" vertical="center" wrapText="1"/>
      <protection locked="0"/>
    </xf>
    <xf numFmtId="0" fontId="35" fillId="0" borderId="39" xfId="0" applyFont="1" applyFill="1" applyBorder="1" applyAlignment="1" applyProtection="1">
      <alignment horizontal="center" vertical="center" wrapText="1"/>
      <protection locked="0"/>
    </xf>
    <xf numFmtId="49" fontId="3" fillId="0" borderId="39" xfId="0" applyNumberFormat="1" applyFont="1" applyFill="1" applyBorder="1" applyAlignment="1">
      <alignment horizontal="center" vertical="center"/>
    </xf>
    <xf numFmtId="0" fontId="35" fillId="0" borderId="40" xfId="0" applyFont="1" applyFill="1" applyBorder="1" applyAlignment="1" applyProtection="1">
      <alignment horizontal="center" vertical="center" wrapText="1"/>
      <protection locked="0"/>
    </xf>
    <xf numFmtId="172" fontId="28" fillId="0" borderId="41" xfId="1" applyNumberFormat="1" applyFont="1" applyFill="1" applyBorder="1" applyAlignment="1" applyProtection="1">
      <alignment horizontal="center" vertical="center" wrapText="1"/>
      <protection locked="0"/>
    </xf>
    <xf numFmtId="0" fontId="35" fillId="0" borderId="12" xfId="0" applyFont="1" applyFill="1" applyBorder="1" applyAlignment="1" applyProtection="1">
      <alignment horizontal="center" vertical="center" wrapText="1"/>
      <protection locked="0"/>
    </xf>
    <xf numFmtId="0" fontId="3" fillId="0" borderId="43" xfId="0" applyFont="1" applyFill="1" applyBorder="1" applyAlignment="1">
      <alignment horizontal="center" vertical="center"/>
    </xf>
    <xf numFmtId="1" fontId="28" fillId="0" borderId="43" xfId="0" applyNumberFormat="1" applyFont="1" applyFill="1" applyBorder="1" applyAlignment="1" applyProtection="1">
      <alignment horizontal="center" vertical="center" wrapText="1"/>
      <protection locked="0"/>
    </xf>
    <xf numFmtId="0" fontId="35" fillId="0" borderId="43" xfId="0" applyFont="1" applyFill="1" applyBorder="1" applyAlignment="1" applyProtection="1">
      <alignment horizontal="left" vertical="center" wrapText="1"/>
      <protection locked="0"/>
    </xf>
    <xf numFmtId="49" fontId="3" fillId="0" borderId="43" xfId="0" applyNumberFormat="1" applyFont="1" applyFill="1" applyBorder="1" applyAlignment="1">
      <alignment horizontal="center" vertical="center"/>
    </xf>
  </cellXfs>
  <cellStyles count="22">
    <cellStyle name="Comma" xfId="1" builtinId="3"/>
    <cellStyle name="Comma 2" xfId="2" xr:uid="{00000000-0005-0000-0000-000001000000}"/>
    <cellStyle name="Comma 3" xfId="3" xr:uid="{00000000-0005-0000-0000-000002000000}"/>
    <cellStyle name="Comma 4" xfId="4" xr:uid="{00000000-0005-0000-0000-000003000000}"/>
    <cellStyle name="Comma 5" xfId="11" xr:uid="{00000000-0005-0000-0000-000004000000}"/>
    <cellStyle name="Normal" xfId="0" builtinId="0"/>
    <cellStyle name="Normal 13" xfId="12" xr:uid="{00000000-0005-0000-0000-000006000000}"/>
    <cellStyle name="Normal 14" xfId="13" xr:uid="{00000000-0005-0000-0000-000007000000}"/>
    <cellStyle name="Normal 15" xfId="14" xr:uid="{00000000-0005-0000-0000-000008000000}"/>
    <cellStyle name="Normal 17" xfId="15" xr:uid="{00000000-0005-0000-0000-000009000000}"/>
    <cellStyle name="Normal 18" xfId="16" xr:uid="{00000000-0005-0000-0000-00000A000000}"/>
    <cellStyle name="Normal 19" xfId="17" xr:uid="{00000000-0005-0000-0000-00000B000000}"/>
    <cellStyle name="Normal 2" xfId="5" xr:uid="{00000000-0005-0000-0000-00000C000000}"/>
    <cellStyle name="Normal 20" xfId="18" xr:uid="{00000000-0005-0000-0000-00000D000000}"/>
    <cellStyle name="Normal 21" xfId="19" xr:uid="{00000000-0005-0000-0000-00000E000000}"/>
    <cellStyle name="Normal 22" xfId="20" xr:uid="{00000000-0005-0000-0000-00000F000000}"/>
    <cellStyle name="Normal 23" xfId="21" xr:uid="{00000000-0005-0000-0000-000010000000}"/>
    <cellStyle name="Normal 3" xfId="6" xr:uid="{00000000-0005-0000-0000-000011000000}"/>
    <cellStyle name="Normal 4" xfId="7" xr:uid="{00000000-0005-0000-0000-000012000000}"/>
    <cellStyle name="Normal 5" xfId="10" xr:uid="{00000000-0005-0000-0000-000013000000}"/>
    <cellStyle name="Percent" xfId="8" builtinId="5"/>
    <cellStyle name="Percent 2" xfId="9" xr:uid="{00000000-0005-0000-0000-000015000000}"/>
  </cellStyles>
  <dxfs count="10">
    <dxf>
      <font>
        <b val="0"/>
        <i/>
        <strike val="0"/>
        <condense val="0"/>
        <extend val="0"/>
        <outline val="0"/>
        <shadow val="0"/>
        <u val="none"/>
        <vertAlign val="baseline"/>
        <sz val="10"/>
        <color auto="1"/>
        <name val="Trebuchet MS"/>
        <scheme val="none"/>
      </font>
      <fill>
        <patternFill patternType="none">
          <fgColor indexed="64"/>
          <bgColor auto="1"/>
        </patternFill>
      </fill>
      <alignment horizontal="center" vertical="center" textRotation="0" wrapText="1" indent="0" justifyLastLine="0" shrinkToFit="0" readingOrder="0"/>
      <border diagonalUp="0" diagonalDown="0" outline="0">
        <left/>
        <right/>
        <top/>
        <bottom style="medium">
          <color indexed="64"/>
        </bottom>
      </border>
      <protection locked="0" hidden="1"/>
    </dxf>
    <dxf>
      <font>
        <b val="0"/>
        <i val="0"/>
        <strike val="0"/>
        <condense val="0"/>
        <extend val="0"/>
        <outline val="0"/>
        <shadow val="0"/>
        <u val="none"/>
        <vertAlign val="baseline"/>
        <sz val="11"/>
        <color auto="1"/>
        <name val="Calibri"/>
        <scheme val="minor"/>
      </font>
      <fill>
        <patternFill patternType="solid">
          <fgColor indexed="64"/>
          <bgColor rgb="FFF4E2A0"/>
        </patternFill>
      </fill>
      <alignment horizontal="center" vertical="center" textRotation="0" wrapText="1" indent="0" justifyLastLine="0" shrinkToFit="0" readingOrder="0"/>
      <protection locked="0" hidden="1"/>
    </dxf>
    <dxf>
      <fill>
        <patternFill patternType="none">
          <fgColor indexed="64"/>
          <bgColor auto="1"/>
        </patternFill>
      </fill>
    </dxf>
    <dxf>
      <font>
        <i/>
      </font>
      <fill>
        <patternFill patternType="none">
          <fgColor indexed="64"/>
          <bgColor auto="1"/>
        </patternFill>
      </fill>
      <alignment horizontal="center" vertical="center" textRotation="0" wrapText="1" indent="0" justifyLastLine="0" shrinkToFit="0" readingOrder="0"/>
      <border diagonalUp="0" diagonalDown="0" outline="0">
        <left/>
        <right/>
        <top/>
        <bottom style="medium">
          <color indexed="64"/>
        </bottom>
      </border>
      <protection locked="0" hidden="1"/>
    </dxf>
    <dxf>
      <fill>
        <patternFill patternType="none">
          <fgColor indexed="64"/>
          <bgColor auto="1"/>
        </patternFill>
      </fill>
    </dxf>
    <dxf>
      <numFmt numFmtId="167" formatCode="_(* #,##0_);_(* \(#,##0\);_(* &quot;-&quot;??_);_(@_)"/>
      <fill>
        <patternFill patternType="none">
          <fgColor indexed="64"/>
          <bgColor auto="1"/>
        </patternFill>
      </fill>
      <alignment horizontal="general" vertical="center" textRotation="0" wrapText="0" indent="0" justifyLastLine="0" shrinkToFit="0" readingOrder="0"/>
    </dxf>
    <dxf>
      <border>
        <bottom style="medium">
          <color indexed="64"/>
        </bottom>
      </border>
    </dxf>
    <dxf>
      <border outline="0">
        <left style="medium">
          <color rgb="FF000000"/>
        </left>
        <right style="medium">
          <color rgb="FF000000"/>
        </right>
        <top style="medium">
          <color rgb="FF000000"/>
        </top>
        <bottom style="medium">
          <color rgb="FF000000"/>
        </bottom>
      </border>
    </dxf>
    <dxf>
      <fill>
        <patternFill patternType="none">
          <fgColor indexed="64"/>
          <bgColor auto="1"/>
        </patternFill>
      </fill>
    </dxf>
    <dxf>
      <font>
        <b/>
        <i val="0"/>
        <strike val="0"/>
        <condense val="0"/>
        <extend val="0"/>
        <outline val="0"/>
        <shadow val="0"/>
        <u val="none"/>
        <vertAlign val="baseline"/>
        <sz val="12"/>
        <color theme="0"/>
        <name val="B Titr"/>
        <scheme val="none"/>
      </font>
      <fill>
        <patternFill patternType="solid">
          <fgColor indexed="64"/>
          <bgColor theme="4" tint="-0.249977111117893"/>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protection locked="0" hidden="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7F59D"/>
      <color rgb="FF003399"/>
      <color rgb="FFF4E2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087842" name="Picture 4" descr="SinochemBlue">
          <a:extLst>
            <a:ext uri="{FF2B5EF4-FFF2-40B4-BE49-F238E27FC236}">
              <a16:creationId xmlns:a16="http://schemas.microsoft.com/office/drawing/2014/main" id="{00000000-0008-0000-0000-00006299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114300</xdr:colOff>
      <xdr:row>49</xdr:row>
      <xdr:rowOff>123825</xdr:rowOff>
    </xdr:from>
    <xdr:to>
      <xdr:col>19</xdr:col>
      <xdr:colOff>323850</xdr:colOff>
      <xdr:row>57</xdr:row>
      <xdr:rowOff>152400</xdr:rowOff>
    </xdr:to>
    <xdr:pic>
      <xdr:nvPicPr>
        <xdr:cNvPr id="1087843" name="Picture 3">
          <a:extLst>
            <a:ext uri="{FF2B5EF4-FFF2-40B4-BE49-F238E27FC236}">
              <a16:creationId xmlns:a16="http://schemas.microsoft.com/office/drawing/2014/main" id="{00000000-0008-0000-0000-00006399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87175" y="14820900"/>
          <a:ext cx="208597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371475</xdr:colOff>
      <xdr:row>49</xdr:row>
      <xdr:rowOff>171450</xdr:rowOff>
    </xdr:from>
    <xdr:to>
      <xdr:col>13</xdr:col>
      <xdr:colOff>561975</xdr:colOff>
      <xdr:row>54</xdr:row>
      <xdr:rowOff>152400</xdr:rowOff>
    </xdr:to>
    <xdr:pic>
      <xdr:nvPicPr>
        <xdr:cNvPr id="1087844" name="Picture 2" descr="中化-张晓雷">
          <a:extLst>
            <a:ext uri="{FF2B5EF4-FFF2-40B4-BE49-F238E27FC236}">
              <a16:creationId xmlns:a16="http://schemas.microsoft.com/office/drawing/2014/main" id="{00000000-0008-0000-0000-00006499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849548">
          <a:off x="7810500" y="14868525"/>
          <a:ext cx="1714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097058" name="Picture 4" descr="SinochemBlue">
          <a:extLst>
            <a:ext uri="{FF2B5EF4-FFF2-40B4-BE49-F238E27FC236}">
              <a16:creationId xmlns:a16="http://schemas.microsoft.com/office/drawing/2014/main" id="{00000000-0008-0000-0A00-000062BD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266700</xdr:colOff>
      <xdr:row>49</xdr:row>
      <xdr:rowOff>38100</xdr:rowOff>
    </xdr:from>
    <xdr:to>
      <xdr:col>18</xdr:col>
      <xdr:colOff>361950</xdr:colOff>
      <xdr:row>57</xdr:row>
      <xdr:rowOff>66675</xdr:rowOff>
    </xdr:to>
    <xdr:pic>
      <xdr:nvPicPr>
        <xdr:cNvPr id="1097059" name="Picture 3">
          <a:extLst>
            <a:ext uri="{FF2B5EF4-FFF2-40B4-BE49-F238E27FC236}">
              <a16:creationId xmlns:a16="http://schemas.microsoft.com/office/drawing/2014/main" id="{00000000-0008-0000-0A00-000063BD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15675" y="14611350"/>
          <a:ext cx="208597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561975</xdr:colOff>
      <xdr:row>50</xdr:row>
      <xdr:rowOff>28575</xdr:rowOff>
    </xdr:from>
    <xdr:to>
      <xdr:col>14</xdr:col>
      <xdr:colOff>9525</xdr:colOff>
      <xdr:row>55</xdr:row>
      <xdr:rowOff>9525</xdr:rowOff>
    </xdr:to>
    <xdr:pic>
      <xdr:nvPicPr>
        <xdr:cNvPr id="1097060" name="Picture 2" descr="中化-张晓雷">
          <a:extLst>
            <a:ext uri="{FF2B5EF4-FFF2-40B4-BE49-F238E27FC236}">
              <a16:creationId xmlns:a16="http://schemas.microsoft.com/office/drawing/2014/main" id="{00000000-0008-0000-0A00-000064BD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849548">
          <a:off x="8001000" y="14792325"/>
          <a:ext cx="17335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098082" name="Picture 4" descr="SinochemBlue">
          <a:extLst>
            <a:ext uri="{FF2B5EF4-FFF2-40B4-BE49-F238E27FC236}">
              <a16:creationId xmlns:a16="http://schemas.microsoft.com/office/drawing/2014/main" id="{00000000-0008-0000-0B00-000062C1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304800</xdr:colOff>
      <xdr:row>42</xdr:row>
      <xdr:rowOff>180975</xdr:rowOff>
    </xdr:from>
    <xdr:to>
      <xdr:col>18</xdr:col>
      <xdr:colOff>390525</xdr:colOff>
      <xdr:row>51</xdr:row>
      <xdr:rowOff>19050</xdr:rowOff>
    </xdr:to>
    <xdr:pic>
      <xdr:nvPicPr>
        <xdr:cNvPr id="1098083" name="Picture 3">
          <a:extLst>
            <a:ext uri="{FF2B5EF4-FFF2-40B4-BE49-F238E27FC236}">
              <a16:creationId xmlns:a16="http://schemas.microsoft.com/office/drawing/2014/main" id="{00000000-0008-0000-0B00-000063C1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30075" y="12258675"/>
          <a:ext cx="20955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609600</xdr:colOff>
      <xdr:row>44</xdr:row>
      <xdr:rowOff>66675</xdr:rowOff>
    </xdr:from>
    <xdr:to>
      <xdr:col>12</xdr:col>
      <xdr:colOff>800100</xdr:colOff>
      <xdr:row>49</xdr:row>
      <xdr:rowOff>66675</xdr:rowOff>
    </xdr:to>
    <xdr:pic>
      <xdr:nvPicPr>
        <xdr:cNvPr id="1098084" name="Picture 2" descr="中化-张晓雷">
          <a:extLst>
            <a:ext uri="{FF2B5EF4-FFF2-40B4-BE49-F238E27FC236}">
              <a16:creationId xmlns:a16="http://schemas.microsoft.com/office/drawing/2014/main" id="{00000000-0008-0000-0B00-000064C1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849548">
          <a:off x="8305800" y="12525375"/>
          <a:ext cx="17145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099106" name="Picture 4" descr="SinochemBlue">
          <a:extLst>
            <a:ext uri="{FF2B5EF4-FFF2-40B4-BE49-F238E27FC236}">
              <a16:creationId xmlns:a16="http://schemas.microsoft.com/office/drawing/2014/main" id="{00000000-0008-0000-0C00-000062C5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361950</xdr:colOff>
      <xdr:row>43</xdr:row>
      <xdr:rowOff>104775</xdr:rowOff>
    </xdr:from>
    <xdr:to>
      <xdr:col>18</xdr:col>
      <xdr:colOff>447675</xdr:colOff>
      <xdr:row>51</xdr:row>
      <xdr:rowOff>133350</xdr:rowOff>
    </xdr:to>
    <xdr:pic>
      <xdr:nvPicPr>
        <xdr:cNvPr id="1099107" name="Picture 3">
          <a:extLst>
            <a:ext uri="{FF2B5EF4-FFF2-40B4-BE49-F238E27FC236}">
              <a16:creationId xmlns:a16="http://schemas.microsoft.com/office/drawing/2014/main" id="{00000000-0008-0000-0C00-000063C5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87225" y="12372975"/>
          <a:ext cx="20955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44</xdr:row>
      <xdr:rowOff>0</xdr:rowOff>
    </xdr:from>
    <xdr:to>
      <xdr:col>11</xdr:col>
      <xdr:colOff>200025</xdr:colOff>
      <xdr:row>48</xdr:row>
      <xdr:rowOff>190500</xdr:rowOff>
    </xdr:to>
    <xdr:pic>
      <xdr:nvPicPr>
        <xdr:cNvPr id="1099108" name="Picture 2" descr="中化-张晓雷">
          <a:extLst>
            <a:ext uri="{FF2B5EF4-FFF2-40B4-BE49-F238E27FC236}">
              <a16:creationId xmlns:a16="http://schemas.microsoft.com/office/drawing/2014/main" id="{00000000-0008-0000-0C00-000064C5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849548">
          <a:off x="6934200" y="12458700"/>
          <a:ext cx="17240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100130" name="Picture 4" descr="SinochemBlue">
          <a:extLst>
            <a:ext uri="{FF2B5EF4-FFF2-40B4-BE49-F238E27FC236}">
              <a16:creationId xmlns:a16="http://schemas.microsoft.com/office/drawing/2014/main" id="{00000000-0008-0000-0D00-000062C9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561975</xdr:colOff>
      <xdr:row>45</xdr:row>
      <xdr:rowOff>47625</xdr:rowOff>
    </xdr:from>
    <xdr:to>
      <xdr:col>17</xdr:col>
      <xdr:colOff>781050</xdr:colOff>
      <xdr:row>53</xdr:row>
      <xdr:rowOff>66675</xdr:rowOff>
    </xdr:to>
    <xdr:pic>
      <xdr:nvPicPr>
        <xdr:cNvPr id="1100131" name="Picture 3">
          <a:extLst>
            <a:ext uri="{FF2B5EF4-FFF2-40B4-BE49-F238E27FC236}">
              <a16:creationId xmlns:a16="http://schemas.microsoft.com/office/drawing/2014/main" id="{00000000-0008-0000-0D00-000063C9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0025" y="12696825"/>
          <a:ext cx="20955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714375</xdr:colOff>
      <xdr:row>42</xdr:row>
      <xdr:rowOff>47625</xdr:rowOff>
    </xdr:from>
    <xdr:to>
      <xdr:col>12</xdr:col>
      <xdr:colOff>152400</xdr:colOff>
      <xdr:row>47</xdr:row>
      <xdr:rowOff>47625</xdr:rowOff>
    </xdr:to>
    <xdr:pic>
      <xdr:nvPicPr>
        <xdr:cNvPr id="1100132" name="Picture 2" descr="中化-张晓雷">
          <a:extLst>
            <a:ext uri="{FF2B5EF4-FFF2-40B4-BE49-F238E27FC236}">
              <a16:creationId xmlns:a16="http://schemas.microsoft.com/office/drawing/2014/main" id="{00000000-0008-0000-0D00-000064C9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849548">
          <a:off x="7648575" y="12125325"/>
          <a:ext cx="17240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101154" name="Picture 4" descr="SinochemBlue">
          <a:extLst>
            <a:ext uri="{FF2B5EF4-FFF2-40B4-BE49-F238E27FC236}">
              <a16:creationId xmlns:a16="http://schemas.microsoft.com/office/drawing/2014/main" id="{00000000-0008-0000-0E00-000062CD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409575</xdr:colOff>
      <xdr:row>44</xdr:row>
      <xdr:rowOff>47625</xdr:rowOff>
    </xdr:from>
    <xdr:to>
      <xdr:col>16</xdr:col>
      <xdr:colOff>514350</xdr:colOff>
      <xdr:row>52</xdr:row>
      <xdr:rowOff>66675</xdr:rowOff>
    </xdr:to>
    <xdr:pic>
      <xdr:nvPicPr>
        <xdr:cNvPr id="1101155" name="Picture 3">
          <a:extLst>
            <a:ext uri="{FF2B5EF4-FFF2-40B4-BE49-F238E27FC236}">
              <a16:creationId xmlns:a16="http://schemas.microsoft.com/office/drawing/2014/main" id="{00000000-0008-0000-0E00-000063CD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12506325"/>
          <a:ext cx="20955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571500</xdr:colOff>
      <xdr:row>43</xdr:row>
      <xdr:rowOff>85725</xdr:rowOff>
    </xdr:from>
    <xdr:to>
      <xdr:col>12</xdr:col>
      <xdr:colOff>9525</xdr:colOff>
      <xdr:row>48</xdr:row>
      <xdr:rowOff>85725</xdr:rowOff>
    </xdr:to>
    <xdr:pic>
      <xdr:nvPicPr>
        <xdr:cNvPr id="1101156" name="Picture 2" descr="中化-张晓雷">
          <a:extLst>
            <a:ext uri="{FF2B5EF4-FFF2-40B4-BE49-F238E27FC236}">
              <a16:creationId xmlns:a16="http://schemas.microsoft.com/office/drawing/2014/main" id="{00000000-0008-0000-0E00-000064CD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849548">
          <a:off x="7505700" y="12353925"/>
          <a:ext cx="17240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102178" name="Picture 4" descr="SinochemBlue">
          <a:extLst>
            <a:ext uri="{FF2B5EF4-FFF2-40B4-BE49-F238E27FC236}">
              <a16:creationId xmlns:a16="http://schemas.microsoft.com/office/drawing/2014/main" id="{00000000-0008-0000-0F00-000062D1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171450</xdr:colOff>
      <xdr:row>42</xdr:row>
      <xdr:rowOff>171450</xdr:rowOff>
    </xdr:from>
    <xdr:to>
      <xdr:col>17</xdr:col>
      <xdr:colOff>390525</xdr:colOff>
      <xdr:row>51</xdr:row>
      <xdr:rowOff>9525</xdr:rowOff>
    </xdr:to>
    <xdr:pic>
      <xdr:nvPicPr>
        <xdr:cNvPr id="1102179" name="Picture 3">
          <a:extLst>
            <a:ext uri="{FF2B5EF4-FFF2-40B4-BE49-F238E27FC236}">
              <a16:creationId xmlns:a16="http://schemas.microsoft.com/office/drawing/2014/main" id="{00000000-0008-0000-0F00-000063D1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39500" y="12249150"/>
          <a:ext cx="20955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xdr:colOff>
      <xdr:row>43</xdr:row>
      <xdr:rowOff>171450</xdr:rowOff>
    </xdr:from>
    <xdr:to>
      <xdr:col>12</xdr:col>
      <xdr:colOff>152400</xdr:colOff>
      <xdr:row>48</xdr:row>
      <xdr:rowOff>114300</xdr:rowOff>
    </xdr:to>
    <xdr:pic>
      <xdr:nvPicPr>
        <xdr:cNvPr id="1102180" name="Picture 2" descr="中化-张晓雷">
          <a:extLst>
            <a:ext uri="{FF2B5EF4-FFF2-40B4-BE49-F238E27FC236}">
              <a16:creationId xmlns:a16="http://schemas.microsoft.com/office/drawing/2014/main" id="{00000000-0008-0000-0F00-000064D1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452731">
          <a:off x="7734300" y="12439650"/>
          <a:ext cx="16383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103202" name="Picture 4" descr="SinochemBlue">
          <a:extLst>
            <a:ext uri="{FF2B5EF4-FFF2-40B4-BE49-F238E27FC236}">
              <a16:creationId xmlns:a16="http://schemas.microsoft.com/office/drawing/2014/main" id="{00000000-0008-0000-1000-000062D5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28575</xdr:colOff>
      <xdr:row>39</xdr:row>
      <xdr:rowOff>142875</xdr:rowOff>
    </xdr:from>
    <xdr:to>
      <xdr:col>21</xdr:col>
      <xdr:colOff>914400</xdr:colOff>
      <xdr:row>47</xdr:row>
      <xdr:rowOff>142875</xdr:rowOff>
    </xdr:to>
    <xdr:pic>
      <xdr:nvPicPr>
        <xdr:cNvPr id="1103203" name="Picture 3">
          <a:extLst>
            <a:ext uri="{FF2B5EF4-FFF2-40B4-BE49-F238E27FC236}">
              <a16:creationId xmlns:a16="http://schemas.microsoft.com/office/drawing/2014/main" id="{00000000-0008-0000-1000-000063D5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73225" y="11630025"/>
          <a:ext cx="2105025"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533400</xdr:colOff>
      <xdr:row>44</xdr:row>
      <xdr:rowOff>57150</xdr:rowOff>
    </xdr:from>
    <xdr:to>
      <xdr:col>12</xdr:col>
      <xdr:colOff>647700</xdr:colOff>
      <xdr:row>49</xdr:row>
      <xdr:rowOff>0</xdr:rowOff>
    </xdr:to>
    <xdr:pic>
      <xdr:nvPicPr>
        <xdr:cNvPr id="1103204" name="Picture 2" descr="中化-张晓雷">
          <a:extLst>
            <a:ext uri="{FF2B5EF4-FFF2-40B4-BE49-F238E27FC236}">
              <a16:creationId xmlns:a16="http://schemas.microsoft.com/office/drawing/2014/main" id="{00000000-0008-0000-1000-000064D5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452731">
          <a:off x="8229600" y="12515850"/>
          <a:ext cx="16383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104226" name="Picture 4" descr="SinochemBlue">
          <a:extLst>
            <a:ext uri="{FF2B5EF4-FFF2-40B4-BE49-F238E27FC236}">
              <a16:creationId xmlns:a16="http://schemas.microsoft.com/office/drawing/2014/main" id="{00000000-0008-0000-1100-000062D9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200025</xdr:colOff>
      <xdr:row>46</xdr:row>
      <xdr:rowOff>104775</xdr:rowOff>
    </xdr:from>
    <xdr:to>
      <xdr:col>17</xdr:col>
      <xdr:colOff>428625</xdr:colOff>
      <xdr:row>54</xdr:row>
      <xdr:rowOff>123825</xdr:rowOff>
    </xdr:to>
    <xdr:pic>
      <xdr:nvPicPr>
        <xdr:cNvPr id="1104227" name="Picture 3">
          <a:extLst>
            <a:ext uri="{FF2B5EF4-FFF2-40B4-BE49-F238E27FC236}">
              <a16:creationId xmlns:a16="http://schemas.microsoft.com/office/drawing/2014/main" id="{00000000-0008-0000-1100-000063D9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68075" y="12944475"/>
          <a:ext cx="210502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228600</xdr:colOff>
      <xdr:row>43</xdr:row>
      <xdr:rowOff>171450</xdr:rowOff>
    </xdr:from>
    <xdr:to>
      <xdr:col>12</xdr:col>
      <xdr:colOff>342900</xdr:colOff>
      <xdr:row>48</xdr:row>
      <xdr:rowOff>114300</xdr:rowOff>
    </xdr:to>
    <xdr:pic>
      <xdr:nvPicPr>
        <xdr:cNvPr id="1104228" name="Picture 2" descr="中化-张晓雷">
          <a:extLst>
            <a:ext uri="{FF2B5EF4-FFF2-40B4-BE49-F238E27FC236}">
              <a16:creationId xmlns:a16="http://schemas.microsoft.com/office/drawing/2014/main" id="{00000000-0008-0000-1100-000064D9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452731">
          <a:off x="7924800" y="12439650"/>
          <a:ext cx="16383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105250" name="Picture 4" descr="SinochemBlue">
          <a:extLst>
            <a:ext uri="{FF2B5EF4-FFF2-40B4-BE49-F238E27FC236}">
              <a16:creationId xmlns:a16="http://schemas.microsoft.com/office/drawing/2014/main" id="{00000000-0008-0000-1200-000062DD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200025</xdr:colOff>
      <xdr:row>48</xdr:row>
      <xdr:rowOff>180975</xdr:rowOff>
    </xdr:from>
    <xdr:to>
      <xdr:col>20</xdr:col>
      <xdr:colOff>285750</xdr:colOff>
      <xdr:row>57</xdr:row>
      <xdr:rowOff>9525</xdr:rowOff>
    </xdr:to>
    <xdr:pic>
      <xdr:nvPicPr>
        <xdr:cNvPr id="1105251" name="Picture 3">
          <a:extLst>
            <a:ext uri="{FF2B5EF4-FFF2-40B4-BE49-F238E27FC236}">
              <a16:creationId xmlns:a16="http://schemas.microsoft.com/office/drawing/2014/main" id="{00000000-0008-0000-1200-000063DD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44500" y="13401675"/>
          <a:ext cx="20955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619125</xdr:colOff>
      <xdr:row>44</xdr:row>
      <xdr:rowOff>123825</xdr:rowOff>
    </xdr:from>
    <xdr:to>
      <xdr:col>11</xdr:col>
      <xdr:colOff>723900</xdr:colOff>
      <xdr:row>49</xdr:row>
      <xdr:rowOff>76200</xdr:rowOff>
    </xdr:to>
    <xdr:pic>
      <xdr:nvPicPr>
        <xdr:cNvPr id="1105252" name="Picture 2" descr="中化-张晓雷">
          <a:extLst>
            <a:ext uri="{FF2B5EF4-FFF2-40B4-BE49-F238E27FC236}">
              <a16:creationId xmlns:a16="http://schemas.microsoft.com/office/drawing/2014/main" id="{00000000-0008-0000-1200-000064DD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452731">
          <a:off x="7553325" y="12582525"/>
          <a:ext cx="1628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106274" name="Picture 4" descr="SinochemBlue">
          <a:extLst>
            <a:ext uri="{FF2B5EF4-FFF2-40B4-BE49-F238E27FC236}">
              <a16:creationId xmlns:a16="http://schemas.microsoft.com/office/drawing/2014/main" id="{00000000-0008-0000-1300-000062E1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409575</xdr:colOff>
      <xdr:row>42</xdr:row>
      <xdr:rowOff>152400</xdr:rowOff>
    </xdr:from>
    <xdr:to>
      <xdr:col>18</xdr:col>
      <xdr:colOff>504825</xdr:colOff>
      <xdr:row>50</xdr:row>
      <xdr:rowOff>180975</xdr:rowOff>
    </xdr:to>
    <xdr:pic>
      <xdr:nvPicPr>
        <xdr:cNvPr id="1106275" name="Picture 3">
          <a:extLst>
            <a:ext uri="{FF2B5EF4-FFF2-40B4-BE49-F238E27FC236}">
              <a16:creationId xmlns:a16="http://schemas.microsoft.com/office/drawing/2014/main" id="{00000000-0008-0000-1300-000063E1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34850" y="12230100"/>
          <a:ext cx="210502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44</xdr:row>
      <xdr:rowOff>19050</xdr:rowOff>
    </xdr:from>
    <xdr:to>
      <xdr:col>12</xdr:col>
      <xdr:colOff>485775</xdr:colOff>
      <xdr:row>48</xdr:row>
      <xdr:rowOff>161925</xdr:rowOff>
    </xdr:to>
    <xdr:pic>
      <xdr:nvPicPr>
        <xdr:cNvPr id="1106276" name="Picture 2" descr="中化-张晓雷">
          <a:extLst>
            <a:ext uri="{FF2B5EF4-FFF2-40B4-BE49-F238E27FC236}">
              <a16:creationId xmlns:a16="http://schemas.microsoft.com/office/drawing/2014/main" id="{00000000-0008-0000-1300-000064E1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452731">
          <a:off x="8077200" y="12477750"/>
          <a:ext cx="1628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088866" name="Picture 4" descr="SinochemBlue">
          <a:extLst>
            <a:ext uri="{FF2B5EF4-FFF2-40B4-BE49-F238E27FC236}">
              <a16:creationId xmlns:a16="http://schemas.microsoft.com/office/drawing/2014/main" id="{00000000-0008-0000-0100-0000629D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114300</xdr:colOff>
      <xdr:row>49</xdr:row>
      <xdr:rowOff>123825</xdr:rowOff>
    </xdr:from>
    <xdr:to>
      <xdr:col>19</xdr:col>
      <xdr:colOff>323850</xdr:colOff>
      <xdr:row>57</xdr:row>
      <xdr:rowOff>152400</xdr:rowOff>
    </xdr:to>
    <xdr:pic>
      <xdr:nvPicPr>
        <xdr:cNvPr id="1088867" name="Picture 3">
          <a:extLst>
            <a:ext uri="{FF2B5EF4-FFF2-40B4-BE49-F238E27FC236}">
              <a16:creationId xmlns:a16="http://schemas.microsoft.com/office/drawing/2014/main" id="{00000000-0008-0000-0100-0000639D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87175" y="14820900"/>
          <a:ext cx="208597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371475</xdr:colOff>
      <xdr:row>49</xdr:row>
      <xdr:rowOff>171450</xdr:rowOff>
    </xdr:from>
    <xdr:to>
      <xdr:col>13</xdr:col>
      <xdr:colOff>561975</xdr:colOff>
      <xdr:row>54</xdr:row>
      <xdr:rowOff>152400</xdr:rowOff>
    </xdr:to>
    <xdr:pic>
      <xdr:nvPicPr>
        <xdr:cNvPr id="1088868" name="Picture 2" descr="中化-张晓雷">
          <a:extLst>
            <a:ext uri="{FF2B5EF4-FFF2-40B4-BE49-F238E27FC236}">
              <a16:creationId xmlns:a16="http://schemas.microsoft.com/office/drawing/2014/main" id="{00000000-0008-0000-0100-0000649D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849548">
          <a:off x="7810500" y="14868525"/>
          <a:ext cx="1714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107298" name="Picture 4" descr="SinochemBlue">
          <a:extLst>
            <a:ext uri="{FF2B5EF4-FFF2-40B4-BE49-F238E27FC236}">
              <a16:creationId xmlns:a16="http://schemas.microsoft.com/office/drawing/2014/main" id="{00000000-0008-0000-1400-000062E5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247650</xdr:colOff>
      <xdr:row>48</xdr:row>
      <xdr:rowOff>123825</xdr:rowOff>
    </xdr:from>
    <xdr:to>
      <xdr:col>19</xdr:col>
      <xdr:colOff>333375</xdr:colOff>
      <xdr:row>56</xdr:row>
      <xdr:rowOff>142875</xdr:rowOff>
    </xdr:to>
    <xdr:pic>
      <xdr:nvPicPr>
        <xdr:cNvPr id="1107299" name="Picture 3">
          <a:extLst>
            <a:ext uri="{FF2B5EF4-FFF2-40B4-BE49-F238E27FC236}">
              <a16:creationId xmlns:a16="http://schemas.microsoft.com/office/drawing/2014/main" id="{00000000-0008-0000-1400-000063E5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13344525"/>
          <a:ext cx="20955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428625</xdr:colOff>
      <xdr:row>44</xdr:row>
      <xdr:rowOff>76200</xdr:rowOff>
    </xdr:from>
    <xdr:to>
      <xdr:col>12</xdr:col>
      <xdr:colOff>533400</xdr:colOff>
      <xdr:row>49</xdr:row>
      <xdr:rowOff>28575</xdr:rowOff>
    </xdr:to>
    <xdr:pic>
      <xdr:nvPicPr>
        <xdr:cNvPr id="1107300" name="Picture 2" descr="中化-张晓雷">
          <a:extLst>
            <a:ext uri="{FF2B5EF4-FFF2-40B4-BE49-F238E27FC236}">
              <a16:creationId xmlns:a16="http://schemas.microsoft.com/office/drawing/2014/main" id="{00000000-0008-0000-1400-000064E5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452731">
          <a:off x="8124825" y="12534900"/>
          <a:ext cx="1628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108440" name="Picture 4" descr="SinochemBlue">
          <a:extLst>
            <a:ext uri="{FF2B5EF4-FFF2-40B4-BE49-F238E27FC236}">
              <a16:creationId xmlns:a16="http://schemas.microsoft.com/office/drawing/2014/main" id="{00000000-0008-0000-1500-0000D8E9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247650</xdr:colOff>
      <xdr:row>49</xdr:row>
      <xdr:rowOff>0</xdr:rowOff>
    </xdr:from>
    <xdr:to>
      <xdr:col>22</xdr:col>
      <xdr:colOff>209550</xdr:colOff>
      <xdr:row>57</xdr:row>
      <xdr:rowOff>19050</xdr:rowOff>
    </xdr:to>
    <xdr:pic>
      <xdr:nvPicPr>
        <xdr:cNvPr id="1108441" name="Picture 3">
          <a:extLst>
            <a:ext uri="{FF2B5EF4-FFF2-40B4-BE49-F238E27FC236}">
              <a16:creationId xmlns:a16="http://schemas.microsoft.com/office/drawing/2014/main" id="{00000000-0008-0000-1500-0000D9E9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92300" y="13411200"/>
          <a:ext cx="20955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323850</xdr:colOff>
      <xdr:row>44</xdr:row>
      <xdr:rowOff>85725</xdr:rowOff>
    </xdr:from>
    <xdr:to>
      <xdr:col>12</xdr:col>
      <xdr:colOff>438150</xdr:colOff>
      <xdr:row>49</xdr:row>
      <xdr:rowOff>38100</xdr:rowOff>
    </xdr:to>
    <xdr:pic>
      <xdr:nvPicPr>
        <xdr:cNvPr id="1108442" name="Picture 2" descr="中化-张晓雷">
          <a:extLst>
            <a:ext uri="{FF2B5EF4-FFF2-40B4-BE49-F238E27FC236}">
              <a16:creationId xmlns:a16="http://schemas.microsoft.com/office/drawing/2014/main" id="{00000000-0008-0000-1500-0000DAE9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452731">
          <a:off x="8020050" y="12544425"/>
          <a:ext cx="1638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266700</xdr:colOff>
      <xdr:row>56</xdr:row>
      <xdr:rowOff>38100</xdr:rowOff>
    </xdr:from>
    <xdr:to>
      <xdr:col>17</xdr:col>
      <xdr:colOff>685800</xdr:colOff>
      <xdr:row>60</xdr:row>
      <xdr:rowOff>171450</xdr:rowOff>
    </xdr:to>
    <xdr:pic>
      <xdr:nvPicPr>
        <xdr:cNvPr id="1108443" name="Picture 2" descr="中化-张晓雷">
          <a:extLst>
            <a:ext uri="{FF2B5EF4-FFF2-40B4-BE49-F238E27FC236}">
              <a16:creationId xmlns:a16="http://schemas.microsoft.com/office/drawing/2014/main" id="{00000000-0008-0000-1500-0000DBE9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452731">
          <a:off x="11991975" y="14792325"/>
          <a:ext cx="16383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109228" name="Picture 4" descr="SinochemBlue">
          <a:extLst>
            <a:ext uri="{FF2B5EF4-FFF2-40B4-BE49-F238E27FC236}">
              <a16:creationId xmlns:a16="http://schemas.microsoft.com/office/drawing/2014/main" id="{00000000-0008-0000-1600-0000ECEC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704850</xdr:colOff>
      <xdr:row>42</xdr:row>
      <xdr:rowOff>104775</xdr:rowOff>
    </xdr:from>
    <xdr:to>
      <xdr:col>12</xdr:col>
      <xdr:colOff>514350</xdr:colOff>
      <xdr:row>50</xdr:row>
      <xdr:rowOff>133350</xdr:rowOff>
    </xdr:to>
    <xdr:pic>
      <xdr:nvPicPr>
        <xdr:cNvPr id="1109229" name="Picture 3">
          <a:extLst>
            <a:ext uri="{FF2B5EF4-FFF2-40B4-BE49-F238E27FC236}">
              <a16:creationId xmlns:a16="http://schemas.microsoft.com/office/drawing/2014/main" id="{00000000-0008-0000-1600-0000EDEC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12182475"/>
          <a:ext cx="20955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110252" name="Picture 4" descr="SinochemBlue">
          <a:extLst>
            <a:ext uri="{FF2B5EF4-FFF2-40B4-BE49-F238E27FC236}">
              <a16:creationId xmlns:a16="http://schemas.microsoft.com/office/drawing/2014/main" id="{00000000-0008-0000-1700-0000ECF0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704850</xdr:colOff>
      <xdr:row>42</xdr:row>
      <xdr:rowOff>104775</xdr:rowOff>
    </xdr:from>
    <xdr:to>
      <xdr:col>12</xdr:col>
      <xdr:colOff>514350</xdr:colOff>
      <xdr:row>50</xdr:row>
      <xdr:rowOff>133350</xdr:rowOff>
    </xdr:to>
    <xdr:pic>
      <xdr:nvPicPr>
        <xdr:cNvPr id="1110253" name="Picture 3">
          <a:extLst>
            <a:ext uri="{FF2B5EF4-FFF2-40B4-BE49-F238E27FC236}">
              <a16:creationId xmlns:a16="http://schemas.microsoft.com/office/drawing/2014/main" id="{00000000-0008-0000-1700-0000EDF0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5" y="12182475"/>
          <a:ext cx="20955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111276" name="Picture 4" descr="SinochemBlue">
          <a:extLst>
            <a:ext uri="{FF2B5EF4-FFF2-40B4-BE49-F238E27FC236}">
              <a16:creationId xmlns:a16="http://schemas.microsoft.com/office/drawing/2014/main" id="{00000000-0008-0000-1800-0000ECF4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704850</xdr:colOff>
      <xdr:row>42</xdr:row>
      <xdr:rowOff>104775</xdr:rowOff>
    </xdr:from>
    <xdr:to>
      <xdr:col>12</xdr:col>
      <xdr:colOff>514350</xdr:colOff>
      <xdr:row>50</xdr:row>
      <xdr:rowOff>133350</xdr:rowOff>
    </xdr:to>
    <xdr:pic>
      <xdr:nvPicPr>
        <xdr:cNvPr id="1111277" name="Picture 3">
          <a:extLst>
            <a:ext uri="{FF2B5EF4-FFF2-40B4-BE49-F238E27FC236}">
              <a16:creationId xmlns:a16="http://schemas.microsoft.com/office/drawing/2014/main" id="{00000000-0008-0000-1800-0000EDF4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5" y="12182475"/>
          <a:ext cx="20955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112300" name="Picture 4" descr="SinochemBlue">
          <a:extLst>
            <a:ext uri="{FF2B5EF4-FFF2-40B4-BE49-F238E27FC236}">
              <a16:creationId xmlns:a16="http://schemas.microsoft.com/office/drawing/2014/main" id="{00000000-0008-0000-1900-0000ECF8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704850</xdr:colOff>
      <xdr:row>42</xdr:row>
      <xdr:rowOff>104775</xdr:rowOff>
    </xdr:from>
    <xdr:to>
      <xdr:col>12</xdr:col>
      <xdr:colOff>514350</xdr:colOff>
      <xdr:row>50</xdr:row>
      <xdr:rowOff>133350</xdr:rowOff>
    </xdr:to>
    <xdr:pic>
      <xdr:nvPicPr>
        <xdr:cNvPr id="1112301" name="Picture 3">
          <a:extLst>
            <a:ext uri="{FF2B5EF4-FFF2-40B4-BE49-F238E27FC236}">
              <a16:creationId xmlns:a16="http://schemas.microsoft.com/office/drawing/2014/main" id="{00000000-0008-0000-1900-0000EDF8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9525" y="12182475"/>
          <a:ext cx="20955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113324" name="Picture 4" descr="SinochemBlue">
          <a:extLst>
            <a:ext uri="{FF2B5EF4-FFF2-40B4-BE49-F238E27FC236}">
              <a16:creationId xmlns:a16="http://schemas.microsoft.com/office/drawing/2014/main" id="{00000000-0008-0000-1A00-0000ECFC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704850</xdr:colOff>
      <xdr:row>42</xdr:row>
      <xdr:rowOff>104775</xdr:rowOff>
    </xdr:from>
    <xdr:to>
      <xdr:col>12</xdr:col>
      <xdr:colOff>514350</xdr:colOff>
      <xdr:row>50</xdr:row>
      <xdr:rowOff>133350</xdr:rowOff>
    </xdr:to>
    <xdr:pic>
      <xdr:nvPicPr>
        <xdr:cNvPr id="1113325" name="Picture 3">
          <a:extLst>
            <a:ext uri="{FF2B5EF4-FFF2-40B4-BE49-F238E27FC236}">
              <a16:creationId xmlns:a16="http://schemas.microsoft.com/office/drawing/2014/main" id="{00000000-0008-0000-1A00-0000EDFC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10475" y="12182475"/>
          <a:ext cx="20955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114348" name="Picture 4" descr="SinochemBlue">
          <a:extLst>
            <a:ext uri="{FF2B5EF4-FFF2-40B4-BE49-F238E27FC236}">
              <a16:creationId xmlns:a16="http://schemas.microsoft.com/office/drawing/2014/main" id="{00000000-0008-0000-1B00-0000EC001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704850</xdr:colOff>
      <xdr:row>42</xdr:row>
      <xdr:rowOff>104775</xdr:rowOff>
    </xdr:from>
    <xdr:to>
      <xdr:col>12</xdr:col>
      <xdr:colOff>514350</xdr:colOff>
      <xdr:row>50</xdr:row>
      <xdr:rowOff>133350</xdr:rowOff>
    </xdr:to>
    <xdr:pic>
      <xdr:nvPicPr>
        <xdr:cNvPr id="1114349" name="Picture 3">
          <a:extLst>
            <a:ext uri="{FF2B5EF4-FFF2-40B4-BE49-F238E27FC236}">
              <a16:creationId xmlns:a16="http://schemas.microsoft.com/office/drawing/2014/main" id="{00000000-0008-0000-1B00-0000ED001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05675" y="12182475"/>
          <a:ext cx="20955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089890" name="Picture 4" descr="SinochemBlue">
          <a:extLst>
            <a:ext uri="{FF2B5EF4-FFF2-40B4-BE49-F238E27FC236}">
              <a16:creationId xmlns:a16="http://schemas.microsoft.com/office/drawing/2014/main" id="{00000000-0008-0000-0200-000062A1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114300</xdr:colOff>
      <xdr:row>49</xdr:row>
      <xdr:rowOff>123825</xdr:rowOff>
    </xdr:from>
    <xdr:to>
      <xdr:col>19</xdr:col>
      <xdr:colOff>323850</xdr:colOff>
      <xdr:row>57</xdr:row>
      <xdr:rowOff>152400</xdr:rowOff>
    </xdr:to>
    <xdr:pic>
      <xdr:nvPicPr>
        <xdr:cNvPr id="1089891" name="Picture 3">
          <a:extLst>
            <a:ext uri="{FF2B5EF4-FFF2-40B4-BE49-F238E27FC236}">
              <a16:creationId xmlns:a16="http://schemas.microsoft.com/office/drawing/2014/main" id="{00000000-0008-0000-0200-000063A1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87175" y="14820900"/>
          <a:ext cx="208597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371475</xdr:colOff>
      <xdr:row>49</xdr:row>
      <xdr:rowOff>171450</xdr:rowOff>
    </xdr:from>
    <xdr:to>
      <xdr:col>13</xdr:col>
      <xdr:colOff>561975</xdr:colOff>
      <xdr:row>54</xdr:row>
      <xdr:rowOff>152400</xdr:rowOff>
    </xdr:to>
    <xdr:pic>
      <xdr:nvPicPr>
        <xdr:cNvPr id="1089892" name="Picture 2" descr="中化-张晓雷">
          <a:extLst>
            <a:ext uri="{FF2B5EF4-FFF2-40B4-BE49-F238E27FC236}">
              <a16:creationId xmlns:a16="http://schemas.microsoft.com/office/drawing/2014/main" id="{00000000-0008-0000-0200-000064A1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849548">
          <a:off x="7810500" y="14868525"/>
          <a:ext cx="1714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090914" name="Picture 4" descr="SinochemBlue">
          <a:extLst>
            <a:ext uri="{FF2B5EF4-FFF2-40B4-BE49-F238E27FC236}">
              <a16:creationId xmlns:a16="http://schemas.microsoft.com/office/drawing/2014/main" id="{00000000-0008-0000-0300-000062A5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114300</xdr:colOff>
      <xdr:row>49</xdr:row>
      <xdr:rowOff>123825</xdr:rowOff>
    </xdr:from>
    <xdr:to>
      <xdr:col>19</xdr:col>
      <xdr:colOff>323850</xdr:colOff>
      <xdr:row>57</xdr:row>
      <xdr:rowOff>152400</xdr:rowOff>
    </xdr:to>
    <xdr:pic>
      <xdr:nvPicPr>
        <xdr:cNvPr id="1090915" name="Picture 3">
          <a:extLst>
            <a:ext uri="{FF2B5EF4-FFF2-40B4-BE49-F238E27FC236}">
              <a16:creationId xmlns:a16="http://schemas.microsoft.com/office/drawing/2014/main" id="{00000000-0008-0000-0300-000063A5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87175" y="14820900"/>
          <a:ext cx="208597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371475</xdr:colOff>
      <xdr:row>49</xdr:row>
      <xdr:rowOff>171450</xdr:rowOff>
    </xdr:from>
    <xdr:to>
      <xdr:col>13</xdr:col>
      <xdr:colOff>561975</xdr:colOff>
      <xdr:row>54</xdr:row>
      <xdr:rowOff>152400</xdr:rowOff>
    </xdr:to>
    <xdr:pic>
      <xdr:nvPicPr>
        <xdr:cNvPr id="1090916" name="Picture 2" descr="中化-张晓雷">
          <a:extLst>
            <a:ext uri="{FF2B5EF4-FFF2-40B4-BE49-F238E27FC236}">
              <a16:creationId xmlns:a16="http://schemas.microsoft.com/office/drawing/2014/main" id="{00000000-0008-0000-0300-000064A5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849548">
          <a:off x="7810500" y="14868525"/>
          <a:ext cx="1714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091938" name="Picture 4" descr="SinochemBlue">
          <a:extLst>
            <a:ext uri="{FF2B5EF4-FFF2-40B4-BE49-F238E27FC236}">
              <a16:creationId xmlns:a16="http://schemas.microsoft.com/office/drawing/2014/main" id="{00000000-0008-0000-0400-000062A9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114300</xdr:colOff>
      <xdr:row>49</xdr:row>
      <xdr:rowOff>123825</xdr:rowOff>
    </xdr:from>
    <xdr:to>
      <xdr:col>19</xdr:col>
      <xdr:colOff>323850</xdr:colOff>
      <xdr:row>57</xdr:row>
      <xdr:rowOff>152400</xdr:rowOff>
    </xdr:to>
    <xdr:pic>
      <xdr:nvPicPr>
        <xdr:cNvPr id="1091939" name="Picture 3">
          <a:extLst>
            <a:ext uri="{FF2B5EF4-FFF2-40B4-BE49-F238E27FC236}">
              <a16:creationId xmlns:a16="http://schemas.microsoft.com/office/drawing/2014/main" id="{00000000-0008-0000-0400-000063A9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87175" y="14820900"/>
          <a:ext cx="208597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371475</xdr:colOff>
      <xdr:row>49</xdr:row>
      <xdr:rowOff>171450</xdr:rowOff>
    </xdr:from>
    <xdr:to>
      <xdr:col>13</xdr:col>
      <xdr:colOff>561975</xdr:colOff>
      <xdr:row>54</xdr:row>
      <xdr:rowOff>152400</xdr:rowOff>
    </xdr:to>
    <xdr:pic>
      <xdr:nvPicPr>
        <xdr:cNvPr id="1091940" name="Picture 2" descr="中化-张晓雷">
          <a:extLst>
            <a:ext uri="{FF2B5EF4-FFF2-40B4-BE49-F238E27FC236}">
              <a16:creationId xmlns:a16="http://schemas.microsoft.com/office/drawing/2014/main" id="{00000000-0008-0000-0400-000064A9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849548">
          <a:off x="7810500" y="14868525"/>
          <a:ext cx="1714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092962" name="Picture 4" descr="SinochemBlue">
          <a:extLst>
            <a:ext uri="{FF2B5EF4-FFF2-40B4-BE49-F238E27FC236}">
              <a16:creationId xmlns:a16="http://schemas.microsoft.com/office/drawing/2014/main" id="{00000000-0008-0000-0500-000062AD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114300</xdr:colOff>
      <xdr:row>49</xdr:row>
      <xdr:rowOff>123825</xdr:rowOff>
    </xdr:from>
    <xdr:to>
      <xdr:col>19</xdr:col>
      <xdr:colOff>323850</xdr:colOff>
      <xdr:row>57</xdr:row>
      <xdr:rowOff>152400</xdr:rowOff>
    </xdr:to>
    <xdr:pic>
      <xdr:nvPicPr>
        <xdr:cNvPr id="1092963" name="Picture 3">
          <a:extLst>
            <a:ext uri="{FF2B5EF4-FFF2-40B4-BE49-F238E27FC236}">
              <a16:creationId xmlns:a16="http://schemas.microsoft.com/office/drawing/2014/main" id="{00000000-0008-0000-0500-000063AD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87175" y="14820900"/>
          <a:ext cx="208597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371475</xdr:colOff>
      <xdr:row>49</xdr:row>
      <xdr:rowOff>171450</xdr:rowOff>
    </xdr:from>
    <xdr:to>
      <xdr:col>13</xdr:col>
      <xdr:colOff>561975</xdr:colOff>
      <xdr:row>54</xdr:row>
      <xdr:rowOff>152400</xdr:rowOff>
    </xdr:to>
    <xdr:pic>
      <xdr:nvPicPr>
        <xdr:cNvPr id="1092964" name="Picture 2" descr="中化-张晓雷">
          <a:extLst>
            <a:ext uri="{FF2B5EF4-FFF2-40B4-BE49-F238E27FC236}">
              <a16:creationId xmlns:a16="http://schemas.microsoft.com/office/drawing/2014/main" id="{00000000-0008-0000-0500-000064AD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849548">
          <a:off x="7810500" y="14868525"/>
          <a:ext cx="1714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093986" name="Picture 4" descr="SinochemBlue">
          <a:extLst>
            <a:ext uri="{FF2B5EF4-FFF2-40B4-BE49-F238E27FC236}">
              <a16:creationId xmlns:a16="http://schemas.microsoft.com/office/drawing/2014/main" id="{00000000-0008-0000-0700-000062B1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266700</xdr:colOff>
      <xdr:row>49</xdr:row>
      <xdr:rowOff>38100</xdr:rowOff>
    </xdr:from>
    <xdr:to>
      <xdr:col>18</xdr:col>
      <xdr:colOff>361950</xdr:colOff>
      <xdr:row>57</xdr:row>
      <xdr:rowOff>66675</xdr:rowOff>
    </xdr:to>
    <xdr:pic>
      <xdr:nvPicPr>
        <xdr:cNvPr id="1093987" name="Picture 3">
          <a:extLst>
            <a:ext uri="{FF2B5EF4-FFF2-40B4-BE49-F238E27FC236}">
              <a16:creationId xmlns:a16="http://schemas.microsoft.com/office/drawing/2014/main" id="{00000000-0008-0000-0700-000063B1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15675" y="14611350"/>
          <a:ext cx="208597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561975</xdr:colOff>
      <xdr:row>50</xdr:row>
      <xdr:rowOff>28575</xdr:rowOff>
    </xdr:from>
    <xdr:to>
      <xdr:col>14</xdr:col>
      <xdr:colOff>9525</xdr:colOff>
      <xdr:row>55</xdr:row>
      <xdr:rowOff>9525</xdr:rowOff>
    </xdr:to>
    <xdr:pic>
      <xdr:nvPicPr>
        <xdr:cNvPr id="1093988" name="Picture 2" descr="中化-张晓雷">
          <a:extLst>
            <a:ext uri="{FF2B5EF4-FFF2-40B4-BE49-F238E27FC236}">
              <a16:creationId xmlns:a16="http://schemas.microsoft.com/office/drawing/2014/main" id="{00000000-0008-0000-0700-000064B1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849548">
          <a:off x="8001000" y="14792325"/>
          <a:ext cx="17335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095010" name="Picture 4" descr="SinochemBlue">
          <a:extLst>
            <a:ext uri="{FF2B5EF4-FFF2-40B4-BE49-F238E27FC236}">
              <a16:creationId xmlns:a16="http://schemas.microsoft.com/office/drawing/2014/main" id="{00000000-0008-0000-0800-000062B5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266700</xdr:colOff>
      <xdr:row>49</xdr:row>
      <xdr:rowOff>38100</xdr:rowOff>
    </xdr:from>
    <xdr:to>
      <xdr:col>18</xdr:col>
      <xdr:colOff>361950</xdr:colOff>
      <xdr:row>57</xdr:row>
      <xdr:rowOff>66675</xdr:rowOff>
    </xdr:to>
    <xdr:pic>
      <xdr:nvPicPr>
        <xdr:cNvPr id="1095011" name="Picture 3">
          <a:extLst>
            <a:ext uri="{FF2B5EF4-FFF2-40B4-BE49-F238E27FC236}">
              <a16:creationId xmlns:a16="http://schemas.microsoft.com/office/drawing/2014/main" id="{00000000-0008-0000-0800-000063B5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15675" y="14611350"/>
          <a:ext cx="208597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561975</xdr:colOff>
      <xdr:row>50</xdr:row>
      <xdr:rowOff>28575</xdr:rowOff>
    </xdr:from>
    <xdr:to>
      <xdr:col>14</xdr:col>
      <xdr:colOff>9525</xdr:colOff>
      <xdr:row>55</xdr:row>
      <xdr:rowOff>9525</xdr:rowOff>
    </xdr:to>
    <xdr:pic>
      <xdr:nvPicPr>
        <xdr:cNvPr id="1095012" name="Picture 2" descr="中化-张晓雷">
          <a:extLst>
            <a:ext uri="{FF2B5EF4-FFF2-40B4-BE49-F238E27FC236}">
              <a16:creationId xmlns:a16="http://schemas.microsoft.com/office/drawing/2014/main" id="{00000000-0008-0000-0800-000064B5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849548">
          <a:off x="8001000" y="14792325"/>
          <a:ext cx="17335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276225</xdr:colOff>
      <xdr:row>0</xdr:row>
      <xdr:rowOff>123825</xdr:rowOff>
    </xdr:from>
    <xdr:to>
      <xdr:col>1</xdr:col>
      <xdr:colOff>266700</xdr:colOff>
      <xdr:row>0</xdr:row>
      <xdr:rowOff>885825</xdr:rowOff>
    </xdr:to>
    <xdr:pic>
      <xdr:nvPicPr>
        <xdr:cNvPr id="1096034" name="Picture 4" descr="SinochemBlue">
          <a:extLst>
            <a:ext uri="{FF2B5EF4-FFF2-40B4-BE49-F238E27FC236}">
              <a16:creationId xmlns:a16="http://schemas.microsoft.com/office/drawing/2014/main" id="{00000000-0008-0000-0900-000062B9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266700</xdr:colOff>
      <xdr:row>49</xdr:row>
      <xdr:rowOff>38100</xdr:rowOff>
    </xdr:from>
    <xdr:to>
      <xdr:col>18</xdr:col>
      <xdr:colOff>361950</xdr:colOff>
      <xdr:row>57</xdr:row>
      <xdr:rowOff>66675</xdr:rowOff>
    </xdr:to>
    <xdr:pic>
      <xdr:nvPicPr>
        <xdr:cNvPr id="1096035" name="Picture 3">
          <a:extLst>
            <a:ext uri="{FF2B5EF4-FFF2-40B4-BE49-F238E27FC236}">
              <a16:creationId xmlns:a16="http://schemas.microsoft.com/office/drawing/2014/main" id="{00000000-0008-0000-0900-000063B91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15675" y="14611350"/>
          <a:ext cx="208597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561975</xdr:colOff>
      <xdr:row>50</xdr:row>
      <xdr:rowOff>28575</xdr:rowOff>
    </xdr:from>
    <xdr:to>
      <xdr:col>14</xdr:col>
      <xdr:colOff>9525</xdr:colOff>
      <xdr:row>55</xdr:row>
      <xdr:rowOff>9525</xdr:rowOff>
    </xdr:to>
    <xdr:pic>
      <xdr:nvPicPr>
        <xdr:cNvPr id="1096036" name="Picture 2" descr="中化-张晓雷">
          <a:extLst>
            <a:ext uri="{FF2B5EF4-FFF2-40B4-BE49-F238E27FC236}">
              <a16:creationId xmlns:a16="http://schemas.microsoft.com/office/drawing/2014/main" id="{00000000-0008-0000-0900-000064B91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849548">
          <a:off x="8001000" y="14792325"/>
          <a:ext cx="17335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1\Share\Mr%20Teimorian\4000MT\pi%20for%20custom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zin 10674"/>
      <sheetName val="negin 10661"/>
      <sheetName val="1"/>
      <sheetName val="navid fiber"/>
      <sheetName val="Rahmani 24mt"/>
      <sheetName val="mosami"/>
      <sheetName val="khoy textile"/>
      <sheetName val="lot3-10672"/>
      <sheetName val="lot3-10671"/>
      <sheetName val="lot3-10670"/>
      <sheetName val="lot3-10669"/>
      <sheetName val="lot3-10668"/>
      <sheetName val="Rais 10667 (2)"/>
      <sheetName val="Rais 10667"/>
      <sheetName val="zarisan 10666 (3)"/>
      <sheetName val="zarisan 10666 (2)"/>
      <sheetName val="zarisan 10666"/>
      <sheetName val="10665"/>
      <sheetName val="10664"/>
      <sheetName val="10663"/>
      <sheetName val="10662"/>
      <sheetName val="test"/>
      <sheetName val="samad rahmani"/>
      <sheetName val="seiedan"/>
      <sheetName val="hamrang1"/>
      <sheetName val="10658"/>
      <sheetName val="10657"/>
      <sheetName val="10656"/>
      <sheetName val="10655"/>
      <sheetName val="10654"/>
      <sheetName val="10653"/>
      <sheetName val="10652"/>
      <sheetName val="10651"/>
      <sheetName val="10650"/>
      <sheetName val="10649"/>
      <sheetName val="10648"/>
      <sheetName val="10647"/>
      <sheetName val="10646"/>
      <sheetName val="10645"/>
      <sheetName val="10644"/>
      <sheetName val="10643"/>
      <sheetName val="10642"/>
      <sheetName val="10641"/>
      <sheetName val="10640"/>
      <sheetName val="10639"/>
      <sheetName val="10638"/>
      <sheetName val="Rahmani (2)"/>
      <sheetName val="hamrang"/>
      <sheetName val="Fiber-navidnakh"/>
      <sheetName val="Fiber-zarrisan"/>
      <sheetName val="Fiber-ziba"/>
      <sheetName val="rahmani"/>
      <sheetName val="Ha-navidnakh"/>
      <sheetName val="Raeis "/>
      <sheetName val="Ha-zarrisan"/>
      <sheetName val="DATIS (US)"/>
      <sheetName val="Bastan P 5"/>
      <sheetName val="Bastan C 5"/>
      <sheetName val="Elahieh"/>
      <sheetName val="Datis"/>
      <sheetName val="Sheet1"/>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row r="1">
          <cell r="A1" t="str">
            <v>SYS ARANG KIAN</v>
          </cell>
          <cell r="B1">
            <v>14004155028</v>
          </cell>
          <cell r="C1" t="str">
            <v>No.33,Narpad Bulding,Golnar alley, elahyeh st. ,Tehran ,IRAN</v>
          </cell>
          <cell r="D1" t="str">
            <v>+98 21 88 06 98 53</v>
          </cell>
          <cell r="E1" t="str">
            <v>+98 21 88 60 10 49</v>
          </cell>
          <cell r="F1" t="str">
            <v>SYS/</v>
          </cell>
        </row>
        <row r="2">
          <cell r="A2" t="str">
            <v xml:space="preserve">TAKMIL BAFT </v>
          </cell>
          <cell r="B2">
            <v>10101255979</v>
          </cell>
          <cell r="C2" t="str">
            <v>No.2243,Vavan Road,Shourabad,Tehran,IRAN</v>
          </cell>
          <cell r="D2" t="str">
            <v>+98 21 56545947</v>
          </cell>
          <cell r="E2" t="str">
            <v>+98 21 56545660</v>
          </cell>
          <cell r="F2" t="str">
            <v>TKB/</v>
          </cell>
        </row>
        <row r="3">
          <cell r="A3" t="str">
            <v>BAFT VA TAKMIL KIMIYAYE HAMRANG</v>
          </cell>
          <cell r="B3">
            <v>10101244954</v>
          </cell>
          <cell r="C3" t="str">
            <v>NO585,Karadj Road(Old),Tehran,IRAN</v>
          </cell>
          <cell r="D3" t="str">
            <v>+98 21 44922102</v>
          </cell>
          <cell r="E3" t="str">
            <v>+98 21 44922749</v>
          </cell>
          <cell r="F3" t="str">
            <v>HMR/</v>
          </cell>
        </row>
        <row r="4">
          <cell r="A4" t="str">
            <v>RISANDEGI NAKHE ELAHIYEH</v>
          </cell>
          <cell r="D4" t="str">
            <v>+98 21 88506820</v>
          </cell>
          <cell r="E4" t="str">
            <v>+98 21  88730349</v>
          </cell>
          <cell r="F4" t="str">
            <v>ELA/</v>
          </cell>
        </row>
        <row r="5">
          <cell r="A5" t="str">
            <v>Mr.Masoud Raeiszadeh</v>
          </cell>
          <cell r="B5">
            <v>1199009751</v>
          </cell>
          <cell r="C5" t="str">
            <v>5th Km Borojen Road-Shahreza City-Isfihan Provience-Iran</v>
          </cell>
          <cell r="D5" t="str">
            <v>+98 31 5350960</v>
          </cell>
          <cell r="E5" t="str">
            <v>+98 31 5350970</v>
          </cell>
          <cell r="F5" t="str">
            <v>RAI/</v>
          </cell>
        </row>
        <row r="6">
          <cell r="A6" t="str">
            <v>Zarrian Kavir Kashan</v>
          </cell>
          <cell r="B6">
            <v>280576</v>
          </cell>
          <cell r="C6" t="str">
            <v>Amir kabir industrial zone,Kashan,IRAN</v>
          </cell>
          <cell r="D6" t="str">
            <v xml:space="preserve">+98 31 55448202 </v>
          </cell>
          <cell r="E6" t="str">
            <v>+98 31 55448203</v>
          </cell>
          <cell r="F6" t="str">
            <v>ZAR/</v>
          </cell>
        </row>
        <row r="7">
          <cell r="A7" t="str">
            <v>Navid Nakh Talae</v>
          </cell>
          <cell r="B7">
            <v>442521</v>
          </cell>
          <cell r="C7" t="str">
            <v xml:space="preserve"> unit 26 , 9th Fl. , No.17 , Golshahr Blvd , Afriqa St. ,Tehran ,IRAN</v>
          </cell>
          <cell r="D7" t="str">
            <v>+98 21 220 44 765</v>
          </cell>
          <cell r="E7" t="str">
            <v>+98 31 55448203</v>
          </cell>
          <cell r="F7" t="str">
            <v>NAV/</v>
          </cell>
        </row>
        <row r="8">
          <cell r="A8" t="str">
            <v>Negin Borojen</v>
          </cell>
          <cell r="F8" t="str">
            <v>NEG/</v>
          </cell>
        </row>
        <row r="9">
          <cell r="A9" t="str">
            <v>Khoy Textile Co.</v>
          </cell>
          <cell r="B9">
            <v>372922</v>
          </cell>
          <cell r="C9" t="str">
            <v>8th floor,No.283,Negin Azadi Bld.Dr.Beheshti Ave. Tehran.IRAN</v>
          </cell>
          <cell r="D9" t="str">
            <v>+98 21 88 10 14 16</v>
          </cell>
          <cell r="E9" t="str">
            <v>+98 21 88 10 48 60</v>
          </cell>
          <cell r="F9" t="str">
            <v>KHT/</v>
          </cell>
        </row>
        <row r="10">
          <cell r="A10" t="str">
            <v>SYSR</v>
          </cell>
          <cell r="B10">
            <v>14004155028</v>
          </cell>
          <cell r="C10" t="str">
            <v>No.33,Narpad Bulding,Golnar alley, elahyeh st. ,Tehran ,IRAN</v>
          </cell>
          <cell r="D10" t="str">
            <v>+98 21 88 06 98 53</v>
          </cell>
          <cell r="E10" t="str">
            <v>+98 21 88 60 10 49</v>
          </cell>
          <cell r="F10" t="str">
            <v>SYSRAH</v>
          </cell>
        </row>
        <row r="11">
          <cell r="A11" t="str">
            <v>Polybehris Afagh Boroujen Co.</v>
          </cell>
          <cell r="B11">
            <v>10862107145</v>
          </cell>
          <cell r="C11" t="str">
            <v xml:space="preserve">4th Floor, No. 24
8th Alley(Shahid Savojinia),
Pakistan Str., Beheshti Ave,
Tehran - IRAN
</v>
          </cell>
          <cell r="D11" t="str">
            <v>0098 21 88737511-3</v>
          </cell>
          <cell r="E11" t="str">
            <v>0098 21 88737514</v>
          </cell>
          <cell r="F11" t="str">
            <v>NEG/</v>
          </cell>
        </row>
        <row r="12">
          <cell r="A12" t="str">
            <v>Rezvan Tab Textile</v>
          </cell>
          <cell r="B12">
            <v>10760242542</v>
          </cell>
          <cell r="C12" t="str">
            <v>No 40, Jalalvand Ave, Tajrish Sq, Tehran, Iran</v>
          </cell>
          <cell r="D12" t="str">
            <v>0098 21 22748921-5</v>
          </cell>
          <cell r="E12" t="str">
            <v>0098 21 22711321</v>
          </cell>
          <cell r="F12" t="str">
            <v>REZ/</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2" displayName="Table22" ref="A6:H30" totalsRowShown="0" headerRowDxfId="9" dataDxfId="8" headerRowBorderDxfId="6" tableBorderDxfId="7">
  <tableColumns count="8">
    <tableColumn id="4" xr3:uid="{00000000-0010-0000-0000-000004000000}" name="مجموع قیمت CFR (درهم)" dataDxfId="5"/>
    <tableColumn id="3" xr3:uid="{00000000-0010-0000-0000-000003000000}" name="قیمت هر کیلوگرم CFR (درهم)" dataDxfId="4"/>
    <tableColumn id="5" xr3:uid="{00000000-0010-0000-0000-000005000000}" name="وزن (کیلوگرم)" dataDxfId="3"/>
    <tableColumn id="7" xr3:uid="{00000000-0010-0000-0000-000007000000}" name="کد رنگ"/>
    <tableColumn id="2" xr3:uid="{00000000-0010-0000-0000-000002000000}" name="نام کالا" dataDxfId="2"/>
    <tableColumn id="6" xr3:uid="{00000000-0010-0000-0000-000006000000}" name="نوع محصول"/>
    <tableColumn id="9" xr3:uid="{00000000-0010-0000-0000-000009000000}" name="کد محصول" dataDxfId="1"/>
    <tableColumn id="1" xr3:uid="{00000000-0010-0000-0000-000001000000}" name="کمپانی"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13.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14.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15.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16.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17.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18.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omments" Target="../comments19.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comments" Target="../comments20.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4"/>
  <dimension ref="A1:AK58"/>
  <sheetViews>
    <sheetView showGridLines="0" zoomScale="93" zoomScaleNormal="93" workbookViewId="0">
      <selection activeCell="Q18" sqref="Q18"/>
    </sheetView>
  </sheetViews>
  <sheetFormatPr defaultRowHeight="15" x14ac:dyDescent="0.3"/>
  <cols>
    <col min="1" max="3" width="11.42578125" customWidth="1"/>
    <col min="4" max="4" width="21.140625" customWidth="1"/>
    <col min="5" max="5" width="11.42578125" customWidth="1"/>
    <col min="6" max="6" width="17" customWidth="1"/>
    <col min="7" max="7" width="8.140625" bestFit="1" customWidth="1"/>
    <col min="8" max="8" width="8.140625" customWidth="1"/>
    <col min="9" max="9" width="9.42578125" hidden="1" customWidth="1"/>
    <col min="10" max="11" width="11.42578125" customWidth="1"/>
    <col min="12" max="12" width="11.42578125" hidden="1" customWidth="1"/>
    <col min="13" max="14" width="11.42578125" customWidth="1"/>
    <col min="15" max="15" width="16.85546875" customWidth="1"/>
    <col min="16" max="16" width="10.85546875" bestFit="1" customWidth="1"/>
    <col min="17" max="17" width="9.85546875" bestFit="1" customWidth="1"/>
    <col min="20" max="20" width="11.85546875" bestFit="1" customWidth="1"/>
    <col min="35" max="35" width="40.140625" bestFit="1" customWidth="1"/>
  </cols>
  <sheetData>
    <row r="1" spans="1:37" ht="78" customHeight="1" x14ac:dyDescent="0.45">
      <c r="A1" s="183"/>
      <c r="B1" s="204" t="s">
        <v>108</v>
      </c>
      <c r="C1" s="204"/>
      <c r="D1" s="204"/>
      <c r="E1" s="204"/>
      <c r="F1" s="204"/>
      <c r="G1" s="119"/>
      <c r="H1" s="119"/>
      <c r="I1" s="119"/>
      <c r="J1" s="119"/>
      <c r="K1" s="119"/>
      <c r="L1" s="119"/>
      <c r="M1" s="119"/>
      <c r="N1" s="119"/>
      <c r="O1" s="120" t="s">
        <v>7</v>
      </c>
      <c r="X1" s="87" t="s">
        <v>74</v>
      </c>
      <c r="Y1" s="88" t="s">
        <v>108</v>
      </c>
      <c r="Z1" s="38" t="s">
        <v>69</v>
      </c>
      <c r="AA1" s="38" t="s">
        <v>109</v>
      </c>
      <c r="AI1" s="115" t="e">
        <f>IF(#REF!="","",#REF!)</f>
        <v>#REF!</v>
      </c>
    </row>
    <row r="2" spans="1:37" ht="16.5" x14ac:dyDescent="0.3">
      <c r="A2" s="121" t="str">
        <f>IF(B1=X1,Z1,AA1)</f>
        <v>SINOCHEM TIANJIN CO., LTD</v>
      </c>
      <c r="B2" s="122"/>
      <c r="C2" s="122"/>
      <c r="D2" s="123"/>
      <c r="E2" s="123"/>
      <c r="F2" s="123"/>
      <c r="G2" s="123"/>
      <c r="H2" s="123"/>
      <c r="I2" s="123"/>
      <c r="J2" s="123"/>
      <c r="K2" s="124"/>
      <c r="L2" s="124"/>
      <c r="M2" s="125" t="s">
        <v>45</v>
      </c>
      <c r="N2" s="205" t="s">
        <v>97</v>
      </c>
      <c r="O2" s="206"/>
      <c r="Z2" s="89" t="s">
        <v>144</v>
      </c>
      <c r="AA2" s="89" t="s">
        <v>111</v>
      </c>
      <c r="AI2" s="115" t="e">
        <f>IF(#REF!="","",#REF!)</f>
        <v>#REF!</v>
      </c>
    </row>
    <row r="3" spans="1:37" ht="16.5" x14ac:dyDescent="0.3">
      <c r="A3" s="126" t="s">
        <v>11</v>
      </c>
      <c r="B3" s="127"/>
      <c r="C3" s="127"/>
      <c r="D3" s="128"/>
      <c r="E3" s="128"/>
      <c r="F3" s="128"/>
      <c r="G3" s="128"/>
      <c r="H3" s="128"/>
      <c r="I3" s="128"/>
      <c r="J3" s="128"/>
      <c r="K3" s="129"/>
      <c r="L3" s="129"/>
      <c r="M3" s="125" t="s">
        <v>44</v>
      </c>
      <c r="N3" s="205" t="s">
        <v>146</v>
      </c>
      <c r="O3" s="206"/>
      <c r="Z3" s="38" t="s">
        <v>112</v>
      </c>
      <c r="AA3" s="38" t="s">
        <v>113</v>
      </c>
      <c r="AI3" s="115" t="e">
        <f>IF(#REF!="","",#REF!)</f>
        <v>#REF!</v>
      </c>
      <c r="AK3" t="e">
        <f>IF(AI1=0,"",AI1)</f>
        <v>#REF!</v>
      </c>
    </row>
    <row r="4" spans="1:37" ht="15" customHeight="1" x14ac:dyDescent="0.3">
      <c r="A4" s="126" t="s">
        <v>12</v>
      </c>
      <c r="B4" s="127"/>
      <c r="C4" s="127"/>
      <c r="D4" s="123"/>
      <c r="E4" s="123"/>
      <c r="F4" s="123"/>
      <c r="G4" s="123"/>
      <c r="H4" s="123"/>
      <c r="I4" s="123"/>
      <c r="J4" s="123"/>
      <c r="K4" s="124"/>
      <c r="L4" s="124"/>
      <c r="M4" s="125" t="s">
        <v>47</v>
      </c>
      <c r="N4" s="130" t="s">
        <v>98</v>
      </c>
      <c r="O4" s="186" t="s">
        <v>103</v>
      </c>
      <c r="AI4" s="115" t="e">
        <f>IF(#REF!="","",#REF!)</f>
        <v>#REF!</v>
      </c>
    </row>
    <row r="5" spans="1:37" ht="16.5" x14ac:dyDescent="0.3">
      <c r="A5" s="126" t="s">
        <v>10</v>
      </c>
      <c r="B5" s="127"/>
      <c r="C5" s="127"/>
      <c r="D5" s="123"/>
      <c r="E5" s="123"/>
      <c r="F5" s="123"/>
      <c r="G5" s="123"/>
      <c r="H5" s="123"/>
      <c r="I5" s="123"/>
      <c r="J5" s="123"/>
      <c r="K5" s="207"/>
      <c r="L5" s="207"/>
      <c r="M5" s="207"/>
      <c r="N5" s="208"/>
      <c r="O5" s="209"/>
      <c r="AI5" s="115" t="e">
        <f>IF(#REF!="","",#REF!)</f>
        <v>#REF!</v>
      </c>
    </row>
    <row r="6" spans="1:37" ht="16.5" x14ac:dyDescent="0.3">
      <c r="A6" s="126" t="s">
        <v>9</v>
      </c>
      <c r="B6" s="127"/>
      <c r="C6" s="127"/>
      <c r="D6" s="123"/>
      <c r="E6" s="123"/>
      <c r="F6" s="123"/>
      <c r="G6" s="123"/>
      <c r="H6" s="123"/>
      <c r="I6" s="123"/>
      <c r="J6" s="123"/>
      <c r="K6" s="123"/>
      <c r="L6" s="123"/>
      <c r="M6" s="123"/>
      <c r="N6" s="123"/>
      <c r="O6" s="131"/>
      <c r="AI6" s="115" t="e">
        <f>IF(#REF!="","",#REF!)</f>
        <v>#REF!</v>
      </c>
    </row>
    <row r="7" spans="1:37" ht="16.5" x14ac:dyDescent="0.3">
      <c r="A7" s="132"/>
      <c r="B7" s="133"/>
      <c r="C7" s="133"/>
      <c r="D7" s="123"/>
      <c r="E7" s="123"/>
      <c r="F7" s="123"/>
      <c r="G7" s="123"/>
      <c r="H7" s="123"/>
      <c r="I7" s="123"/>
      <c r="J7" s="123"/>
      <c r="K7" s="123"/>
      <c r="L7" s="123"/>
      <c r="M7" s="123"/>
      <c r="N7" s="123"/>
      <c r="O7" s="131"/>
      <c r="S7" s="51"/>
      <c r="T7" s="50"/>
      <c r="AI7" s="115" t="e">
        <f>IF(#REF!="","",#REF!)</f>
        <v>#REF!</v>
      </c>
    </row>
    <row r="8" spans="1:37" ht="17.25" thickBot="1" x14ac:dyDescent="0.35">
      <c r="A8" s="132"/>
      <c r="B8" s="133"/>
      <c r="C8" s="133"/>
      <c r="D8" s="133"/>
      <c r="E8" s="133"/>
      <c r="F8" s="133"/>
      <c r="G8" s="133"/>
      <c r="H8" s="133"/>
      <c r="I8" s="133"/>
      <c r="J8" s="133"/>
      <c r="K8" s="133"/>
      <c r="L8" s="133"/>
      <c r="M8" s="133"/>
      <c r="N8" s="133"/>
      <c r="O8" s="131"/>
      <c r="S8" s="51"/>
      <c r="T8" s="50"/>
      <c r="AI8" s="115" t="e">
        <f>IF(#REF!="","",#REF!)</f>
        <v>#REF!</v>
      </c>
    </row>
    <row r="9" spans="1:37" ht="17.25" thickBot="1" x14ac:dyDescent="0.35">
      <c r="A9" s="192" t="s">
        <v>1</v>
      </c>
      <c r="B9" s="193"/>
      <c r="C9" s="193"/>
      <c r="D9" s="193"/>
      <c r="E9" s="193"/>
      <c r="F9" s="193"/>
      <c r="G9" s="193"/>
      <c r="H9" s="193"/>
      <c r="I9" s="193"/>
      <c r="J9" s="193"/>
      <c r="K9" s="193"/>
      <c r="L9" s="193"/>
      <c r="M9" s="193"/>
      <c r="N9" s="193" t="s">
        <v>31</v>
      </c>
      <c r="O9" s="194"/>
      <c r="AI9" s="115" t="e">
        <f>IF(#REF!="","",#REF!)</f>
        <v>#REF!</v>
      </c>
    </row>
    <row r="10" spans="1:37" ht="16.5" x14ac:dyDescent="0.3">
      <c r="A10" s="210" t="s">
        <v>88</v>
      </c>
      <c r="B10" s="211"/>
      <c r="C10" s="211"/>
      <c r="D10" s="211"/>
      <c r="E10" s="123"/>
      <c r="F10" s="123"/>
      <c r="G10" s="123"/>
      <c r="H10" s="123"/>
      <c r="I10" s="123"/>
      <c r="J10" s="123"/>
      <c r="K10" s="123"/>
      <c r="L10" s="123"/>
      <c r="M10" s="212" t="s">
        <v>32</v>
      </c>
      <c r="N10" s="212"/>
      <c r="O10" s="134" t="s">
        <v>34</v>
      </c>
      <c r="AI10" s="115" t="e">
        <f>IF(#REF!="","",#REF!)</f>
        <v>#REF!</v>
      </c>
    </row>
    <row r="11" spans="1:37" ht="16.5" customHeight="1" x14ac:dyDescent="0.3">
      <c r="A11" s="213" t="s">
        <v>90</v>
      </c>
      <c r="B11" s="214"/>
      <c r="C11" s="214" t="e">
        <f>VLOOKUP(A10,#REF!,2,FALSE)</f>
        <v>#REF!</v>
      </c>
      <c r="D11" s="214"/>
      <c r="E11" s="123"/>
      <c r="F11" s="123"/>
      <c r="G11" s="123"/>
      <c r="H11" s="123"/>
      <c r="I11" s="123"/>
      <c r="J11" s="123"/>
      <c r="K11" s="123"/>
      <c r="L11" s="123"/>
      <c r="M11" s="212" t="s">
        <v>42</v>
      </c>
      <c r="N11" s="212"/>
      <c r="O11" s="134" t="s">
        <v>43</v>
      </c>
      <c r="AF11" t="s">
        <v>105</v>
      </c>
      <c r="AI11" s="115" t="e">
        <f>IF(#REF!="","",#REF!)</f>
        <v>#REF!</v>
      </c>
    </row>
    <row r="12" spans="1:37" ht="16.5" customHeight="1" x14ac:dyDescent="0.3">
      <c r="A12" s="126" t="e">
        <f>VLOOKUP(A10,#REF!,3,FALSE)</f>
        <v>#REF!</v>
      </c>
      <c r="B12" s="127"/>
      <c r="C12" s="127"/>
      <c r="D12" s="123"/>
      <c r="E12" s="123"/>
      <c r="F12" s="123"/>
      <c r="G12" s="123"/>
      <c r="H12" s="123"/>
      <c r="I12" s="123"/>
      <c r="J12" s="123"/>
      <c r="K12" s="123"/>
      <c r="L12" s="123"/>
      <c r="M12" s="212" t="s">
        <v>41</v>
      </c>
      <c r="N12" s="212"/>
      <c r="O12" s="135">
        <f xml:space="preserve"> M35</f>
        <v>12320</v>
      </c>
      <c r="AF12" t="s">
        <v>106</v>
      </c>
      <c r="AI12" s="115" t="e">
        <f>IF(#REF!="","",#REF!)</f>
        <v>#REF!</v>
      </c>
    </row>
    <row r="13" spans="1:37" ht="16.5" customHeight="1" x14ac:dyDescent="0.3">
      <c r="A13" s="126" t="s">
        <v>70</v>
      </c>
      <c r="B13" s="127" t="e">
        <f>VLOOKUP(A10,#REF!,4,FALSE)</f>
        <v>#REF!</v>
      </c>
      <c r="C13" s="127"/>
      <c r="D13" s="123"/>
      <c r="E13" s="123"/>
      <c r="F13" s="123"/>
      <c r="G13" s="123"/>
      <c r="H13" s="123"/>
      <c r="I13" s="123"/>
      <c r="J13" s="123"/>
      <c r="K13" s="123"/>
      <c r="L13" s="123"/>
      <c r="M13" s="212" t="s">
        <v>35</v>
      </c>
      <c r="N13" s="212"/>
      <c r="O13" s="136" t="str">
        <f>IF(I35=1,"Cartons",IF(I35=2,"Drums","Cartons &amp; Drums"))</f>
        <v>Drums</v>
      </c>
      <c r="Q13" s="215"/>
      <c r="R13" s="215"/>
      <c r="S13" s="195"/>
      <c r="T13" s="64"/>
      <c r="U13" s="65"/>
      <c r="AI13" s="115" t="e">
        <f>IF(#REF!="","",#REF!)</f>
        <v>#REF!</v>
      </c>
    </row>
    <row r="14" spans="1:37" ht="16.5" customHeight="1" x14ac:dyDescent="0.3">
      <c r="A14" s="137" t="s">
        <v>71</v>
      </c>
      <c r="B14" s="138" t="e">
        <f>VLOOKUP(A10,#REF!,5,FALSE)</f>
        <v>#REF!</v>
      </c>
      <c r="C14" s="127"/>
      <c r="D14" s="123"/>
      <c r="E14" s="123"/>
      <c r="F14" s="123"/>
      <c r="G14" s="123"/>
      <c r="H14" s="123"/>
      <c r="I14" s="123"/>
      <c r="J14" s="123"/>
      <c r="K14" s="123"/>
      <c r="L14" s="123"/>
      <c r="M14" s="212" t="s">
        <v>33</v>
      </c>
      <c r="N14" s="212"/>
      <c r="O14" s="136">
        <f>SUM(L17:L34)</f>
        <v>440</v>
      </c>
      <c r="Q14" s="215"/>
      <c r="R14" s="215"/>
      <c r="S14" s="195"/>
      <c r="T14" s="195"/>
      <c r="U14" s="66"/>
      <c r="AI14" s="115" t="e">
        <f>IF(#REF!="","",#REF!)</f>
        <v>#REF!</v>
      </c>
    </row>
    <row r="15" spans="1:37" ht="17.25" thickBot="1" x14ac:dyDescent="0.35">
      <c r="A15" s="132"/>
      <c r="B15" s="133"/>
      <c r="C15" s="138"/>
      <c r="D15" s="133"/>
      <c r="E15" s="133"/>
      <c r="F15" s="133"/>
      <c r="G15" s="133"/>
      <c r="H15" s="133"/>
      <c r="I15" s="133"/>
      <c r="J15" s="133"/>
      <c r="K15" s="133"/>
      <c r="L15" s="133"/>
      <c r="M15" s="212"/>
      <c r="N15" s="212"/>
      <c r="O15" s="134"/>
      <c r="AI15" s="115" t="e">
        <f>IF(#REF!="","",#REF!)</f>
        <v>#REF!</v>
      </c>
    </row>
    <row r="16" spans="1:37" ht="48.75" customHeight="1" thickBot="1" x14ac:dyDescent="0.35">
      <c r="A16" s="179" t="s">
        <v>17</v>
      </c>
      <c r="B16" s="216" t="s">
        <v>0</v>
      </c>
      <c r="C16" s="216"/>
      <c r="D16" s="216"/>
      <c r="E16" s="216" t="s">
        <v>39</v>
      </c>
      <c r="F16" s="216"/>
      <c r="G16" s="139" t="s">
        <v>18</v>
      </c>
      <c r="H16" s="139" t="s">
        <v>104</v>
      </c>
      <c r="I16" s="139"/>
      <c r="J16" s="140" t="s">
        <v>19</v>
      </c>
      <c r="K16" s="140" t="s">
        <v>20</v>
      </c>
      <c r="L16" s="139" t="s">
        <v>126</v>
      </c>
      <c r="M16" s="140" t="s">
        <v>143</v>
      </c>
      <c r="N16" s="139" t="s">
        <v>49</v>
      </c>
      <c r="O16" s="141" t="s">
        <v>50</v>
      </c>
      <c r="Q16" s="32" t="s">
        <v>72</v>
      </c>
      <c r="R16" s="32" t="s">
        <v>81</v>
      </c>
      <c r="S16" s="32" t="s">
        <v>94</v>
      </c>
      <c r="T16" s="32" t="s">
        <v>93</v>
      </c>
      <c r="U16" s="32" t="s">
        <v>73</v>
      </c>
      <c r="AA16" s="114"/>
      <c r="AI16" s="115" t="e">
        <f>IF(#REF!="","",#REF!)</f>
        <v>#REF!</v>
      </c>
    </row>
    <row r="17" spans="1:35" s="50" customFormat="1" ht="30" customHeight="1" thickBot="1" x14ac:dyDescent="0.35">
      <c r="A17" s="180">
        <v>323</v>
      </c>
      <c r="B17" s="217" t="e">
        <f>IF(A17:A28="","",IF(N$4="sys/",VLOOKUP(A17:A28,#REF!,4,FALSE),VLOOKUP(A17:A28,#REF!,4,FALSE)))</f>
        <v>#REF!</v>
      </c>
      <c r="C17" s="218"/>
      <c r="D17" s="219"/>
      <c r="E17" s="220" t="e">
        <f>IF(A17:A28="","",IF(N$4="sys/",VLOOKUP(A17:A28,#REF!,7,FALSE),VLOOKUP(A17:A28,#REF!,7,FALSE)))</f>
        <v>#REF!</v>
      </c>
      <c r="F17" s="221"/>
      <c r="G17" s="117" t="e">
        <f>IF(A17:A28="","",IF(P$4="sys/",VLOOKUP(A17:A28,#REF!,9,FALSE),VLOOKUP(A17:A28,#REF!,9,FALSE)))</f>
        <v>#REF!</v>
      </c>
      <c r="H17" s="187" t="s">
        <v>106</v>
      </c>
      <c r="I17" s="117">
        <f>IF(H17="","",IF(H17="carton",1,2))</f>
        <v>2</v>
      </c>
      <c r="J17" s="142" t="e">
        <f>IF(A17:A28="","",IF(N$4="sys/",VLOOKUP(A17:A28,#REF!,8,FALSE),VLOOKUP(A17:A28,#REF!,8,FALSE)))</f>
        <v>#REF!</v>
      </c>
      <c r="K17" s="187">
        <v>1000</v>
      </c>
      <c r="L17" s="143">
        <f t="shared" ref="L17:L34" si="0">IF(A17=142,K17/10,IF(A17=8064,K17/20,K17/25))</f>
        <v>40</v>
      </c>
      <c r="M17" s="178">
        <f t="shared" ref="M17:M34" si="1">IF(A17="","",IF(H17="carton",(IF(A17=8064,(K17*21.5/20),(K17*26.5/25))),IF(H17="drum",IF(A17=142,(K17*13/10),K17*28/25))))</f>
        <v>1120</v>
      </c>
      <c r="N17" s="142" t="str">
        <f t="shared" ref="N17:N34" si="2">IF(Q17="","",FIXED(Q17-(O$37/K$35),2,1))</f>
        <v>34.58</v>
      </c>
      <c r="O17" s="144">
        <f>IF(K17="","",K17*N17)</f>
        <v>34580</v>
      </c>
      <c r="P17" s="49"/>
      <c r="Q17" s="181">
        <v>35.479999999999997</v>
      </c>
      <c r="R17" s="181"/>
      <c r="S17" s="73"/>
      <c r="T17" s="63"/>
      <c r="AA17" s="114"/>
      <c r="AI17" s="115" t="e">
        <f>IF(#REF!="","",#REF!)</f>
        <v>#REF!</v>
      </c>
    </row>
    <row r="18" spans="1:35" s="50" customFormat="1" ht="30" customHeight="1" thickBot="1" x14ac:dyDescent="0.35">
      <c r="A18" s="184">
        <v>306</v>
      </c>
      <c r="B18" s="222" t="e">
        <f>IF(A18:A35="","",IF(N$4="sys/",VLOOKUP(A18:A35,#REF!,4,FALSE),VLOOKUP(A18:A35,#REF!,4,FALSE)))</f>
        <v>#REF!</v>
      </c>
      <c r="C18" s="223"/>
      <c r="D18" s="224"/>
      <c r="E18" s="225" t="e">
        <f>IF(A18:A35="","",IF(N$4="sys/",VLOOKUP(A18:A35,#REF!,7,FALSE),VLOOKUP(A18:A35,#REF!,7,FALSE)))</f>
        <v>#REF!</v>
      </c>
      <c r="F18" s="226"/>
      <c r="G18" s="118" t="e">
        <f>IF(A18:A35="","",IF(P$4="sys/",VLOOKUP(A18:A35,#REF!,9,FALSE),VLOOKUP(A18:A35,#REF!,9,FALSE)))</f>
        <v>#REF!</v>
      </c>
      <c r="H18" s="188" t="s">
        <v>106</v>
      </c>
      <c r="I18" s="118">
        <f t="shared" ref="I18:I34" si="3">IF(H18="","",IF(H18="carton",1,2))</f>
        <v>2</v>
      </c>
      <c r="J18" s="145" t="e">
        <f>IF(A18:A35="","",IF(N$4="sys/",VLOOKUP(A18:A35,#REF!,8,FALSE),VLOOKUP(A18:A35,#REF!,8,FALSE)))</f>
        <v>#REF!</v>
      </c>
      <c r="K18" s="188">
        <v>1000</v>
      </c>
      <c r="L18" s="143">
        <f t="shared" si="0"/>
        <v>40</v>
      </c>
      <c r="M18" s="145">
        <f t="shared" si="1"/>
        <v>1120</v>
      </c>
      <c r="N18" s="145" t="str">
        <f t="shared" si="2"/>
        <v>29.37</v>
      </c>
      <c r="O18" s="146">
        <f t="shared" ref="O18:O34" si="4">IF(K18="","",K18*N18)</f>
        <v>29370</v>
      </c>
      <c r="P18" s="49"/>
      <c r="Q18" s="181">
        <v>30.27</v>
      </c>
      <c r="R18" s="181"/>
      <c r="S18" s="73"/>
      <c r="T18" s="63"/>
      <c r="AA18" s="114"/>
      <c r="AI18" s="115" t="e">
        <f>IF(#REF!="","",#REF!)</f>
        <v>#REF!</v>
      </c>
    </row>
    <row r="19" spans="1:35" s="50" customFormat="1" ht="30" customHeight="1" thickBot="1" x14ac:dyDescent="0.35">
      <c r="A19" s="184">
        <v>310</v>
      </c>
      <c r="B19" s="222" t="e">
        <f>IF(A19:A36="","",IF(N$4="sys/",VLOOKUP(A19:A36,#REF!,4,FALSE),VLOOKUP(A19:A36,#REF!,4,FALSE)))</f>
        <v>#REF!</v>
      </c>
      <c r="C19" s="223"/>
      <c r="D19" s="224"/>
      <c r="E19" s="225" t="e">
        <f>IF(A19:A36="","",IF(N$4="sys/",VLOOKUP(A19:A36,#REF!,7,FALSE),VLOOKUP(A19:A36,#REF!,7,FALSE)))</f>
        <v>#REF!</v>
      </c>
      <c r="F19" s="226"/>
      <c r="G19" s="118" t="e">
        <f>IF(A19:A36="","",IF(P$4="sys/",VLOOKUP(A19:A36,#REF!,9,FALSE),VLOOKUP(A19:A36,#REF!,9,FALSE)))</f>
        <v>#REF!</v>
      </c>
      <c r="H19" s="188" t="s">
        <v>106</v>
      </c>
      <c r="I19" s="118">
        <f t="shared" si="3"/>
        <v>2</v>
      </c>
      <c r="J19" s="145" t="e">
        <f>IF(A19:A36="","",IF(N$4="sys/",VLOOKUP(A19:A36,#REF!,8,FALSE),VLOOKUP(A19:A36,#REF!,8,FALSE)))</f>
        <v>#REF!</v>
      </c>
      <c r="K19" s="188">
        <v>1500</v>
      </c>
      <c r="L19" s="143">
        <f t="shared" si="0"/>
        <v>60</v>
      </c>
      <c r="M19" s="145">
        <f t="shared" si="1"/>
        <v>1680</v>
      </c>
      <c r="N19" s="145" t="str">
        <f t="shared" si="2"/>
        <v>89.92</v>
      </c>
      <c r="O19" s="146">
        <f t="shared" si="4"/>
        <v>134880</v>
      </c>
      <c r="P19" s="49"/>
      <c r="Q19" s="181">
        <v>90.82</v>
      </c>
      <c r="R19" s="181"/>
      <c r="S19" s="73"/>
      <c r="T19" s="63"/>
      <c r="AA19" s="114"/>
      <c r="AI19" s="115" t="e">
        <f>IF(#REF!="","",#REF!)</f>
        <v>#REF!</v>
      </c>
    </row>
    <row r="20" spans="1:35" s="50" customFormat="1" ht="30" customHeight="1" thickBot="1" x14ac:dyDescent="0.35">
      <c r="A20" s="184">
        <v>304</v>
      </c>
      <c r="B20" s="222" t="e">
        <f>IF(A20:A37="","",IF(N$4="sys/",VLOOKUP(A20:A37,#REF!,4,FALSE),VLOOKUP(A20:A37,#REF!,4,FALSE)))</f>
        <v>#REF!</v>
      </c>
      <c r="C20" s="223"/>
      <c r="D20" s="224"/>
      <c r="E20" s="225" t="e">
        <f>IF(A20:A37="","",IF(N$4="sys/",VLOOKUP(A20:A37,#REF!,7,FALSE),VLOOKUP(A20:A37,#REF!,7,FALSE)))</f>
        <v>#REF!</v>
      </c>
      <c r="F20" s="226"/>
      <c r="G20" s="118" t="e">
        <f>IF(A20:A37="","",IF(P$4="sys/",VLOOKUP(A20:A37,#REF!,9,FALSE),VLOOKUP(A20:A37,#REF!,9,FALSE)))</f>
        <v>#REF!</v>
      </c>
      <c r="H20" s="188" t="s">
        <v>106</v>
      </c>
      <c r="I20" s="118">
        <f t="shared" si="3"/>
        <v>2</v>
      </c>
      <c r="J20" s="145" t="e">
        <f>IF(A20:A37="","",IF(N$4="sys/",VLOOKUP(A20:A37,#REF!,8,FALSE),VLOOKUP(A20:A37,#REF!,8,FALSE)))</f>
        <v>#REF!</v>
      </c>
      <c r="K20" s="188">
        <v>1000</v>
      </c>
      <c r="L20" s="143">
        <f t="shared" si="0"/>
        <v>40</v>
      </c>
      <c r="M20" s="145">
        <f t="shared" si="1"/>
        <v>1120</v>
      </c>
      <c r="N20" s="145" t="str">
        <f t="shared" si="2"/>
        <v>61.75</v>
      </c>
      <c r="O20" s="146">
        <f t="shared" si="4"/>
        <v>61750</v>
      </c>
      <c r="P20" s="49"/>
      <c r="Q20" s="181">
        <v>62.65</v>
      </c>
      <c r="R20" s="181"/>
      <c r="S20" s="73"/>
      <c r="T20" s="63"/>
      <c r="AA20" s="114"/>
      <c r="AI20" s="115" t="e">
        <f>IF(#REF!="","",#REF!)</f>
        <v>#REF!</v>
      </c>
    </row>
    <row r="21" spans="1:35" s="50" customFormat="1" ht="30" customHeight="1" thickBot="1" x14ac:dyDescent="0.35">
      <c r="A21" s="184">
        <v>133</v>
      </c>
      <c r="B21" s="222" t="e">
        <f>IF(A21:A38="","",IF(N$4="sys/",VLOOKUP(A21:A38,#REF!,4,FALSE),VLOOKUP(A21:A38,#REF!,4,FALSE)))</f>
        <v>#REF!</v>
      </c>
      <c r="C21" s="223"/>
      <c r="D21" s="224"/>
      <c r="E21" s="225" t="e">
        <f>IF(A21:A38="","",IF(N$4="sys/",VLOOKUP(A21:A38,#REF!,7,FALSE),VLOOKUP(A21:A38,#REF!,7,FALSE)))</f>
        <v>#REF!</v>
      </c>
      <c r="F21" s="226"/>
      <c r="G21" s="118" t="e">
        <f>IF(A21:A38="","",IF(P$4="sys/",VLOOKUP(A21:A38,#REF!,9,FALSE),VLOOKUP(A21:A38,#REF!,9,FALSE)))</f>
        <v>#REF!</v>
      </c>
      <c r="H21" s="188" t="s">
        <v>106</v>
      </c>
      <c r="I21" s="118">
        <f t="shared" si="3"/>
        <v>2</v>
      </c>
      <c r="J21" s="145" t="e">
        <f>IF(A21:A38="","",IF(N$4="sys/",VLOOKUP(A21:A38,#REF!,8,FALSE),VLOOKUP(A21:A38,#REF!,8,FALSE)))</f>
        <v>#REF!</v>
      </c>
      <c r="K21" s="188">
        <v>500</v>
      </c>
      <c r="L21" s="143">
        <f t="shared" si="0"/>
        <v>20</v>
      </c>
      <c r="M21" s="145">
        <f t="shared" si="1"/>
        <v>560</v>
      </c>
      <c r="N21" s="145" t="str">
        <f t="shared" si="2"/>
        <v>65.85</v>
      </c>
      <c r="O21" s="146">
        <f t="shared" si="4"/>
        <v>32925</v>
      </c>
      <c r="P21" s="49"/>
      <c r="Q21" s="182">
        <v>66.75</v>
      </c>
      <c r="R21" s="182"/>
      <c r="S21" s="73"/>
      <c r="T21" s="63"/>
      <c r="AA21" s="114"/>
      <c r="AI21" s="115" t="e">
        <f>IF(#REF!="","",#REF!)</f>
        <v>#REF!</v>
      </c>
    </row>
    <row r="22" spans="1:35" s="50" customFormat="1" ht="30" customHeight="1" thickBot="1" x14ac:dyDescent="0.35">
      <c r="A22" s="184">
        <v>131</v>
      </c>
      <c r="B22" s="222" t="e">
        <f>IF(A22:A39="","",IF(N$4="sys/",VLOOKUP(A22:A39,#REF!,4,FALSE),VLOOKUP(A22:A39,#REF!,4,FALSE)))</f>
        <v>#REF!</v>
      </c>
      <c r="C22" s="223"/>
      <c r="D22" s="224"/>
      <c r="E22" s="225" t="e">
        <f>IF(A22:A39="","",IF(N$4="sys/",VLOOKUP(A22:A39,#REF!,7,FALSE),VLOOKUP(A22:A39,#REF!,7,FALSE)))</f>
        <v>#REF!</v>
      </c>
      <c r="F22" s="226"/>
      <c r="G22" s="118" t="e">
        <f>IF(A22:A39="","",IF(P$4="sys/",VLOOKUP(A22:A39,#REF!,9,FALSE),VLOOKUP(A22:A39,#REF!,9,FALSE)))</f>
        <v>#REF!</v>
      </c>
      <c r="H22" s="188" t="s">
        <v>106</v>
      </c>
      <c r="I22" s="118">
        <f t="shared" si="3"/>
        <v>2</v>
      </c>
      <c r="J22" s="145" t="e">
        <f>IF(A22:A39="","",IF(N$4="sys/",VLOOKUP(A22:A39,#REF!,8,FALSE),VLOOKUP(A22:A39,#REF!,8,FALSE)))</f>
        <v>#REF!</v>
      </c>
      <c r="K22" s="188">
        <v>1500</v>
      </c>
      <c r="L22" s="143">
        <f t="shared" si="0"/>
        <v>60</v>
      </c>
      <c r="M22" s="145">
        <f t="shared" si="1"/>
        <v>1680</v>
      </c>
      <c r="N22" s="145" t="str">
        <f t="shared" si="2"/>
        <v>17.91</v>
      </c>
      <c r="O22" s="146">
        <f t="shared" si="4"/>
        <v>26865</v>
      </c>
      <c r="P22" s="49"/>
      <c r="Q22" s="196">
        <v>18.809999999999999</v>
      </c>
      <c r="R22" s="189"/>
      <c r="S22" s="73"/>
      <c r="T22" s="71"/>
      <c r="AA22" s="114"/>
      <c r="AI22" s="115" t="e">
        <f>IF(#REF!="","",#REF!)</f>
        <v>#REF!</v>
      </c>
    </row>
    <row r="23" spans="1:35" s="50" customFormat="1" ht="30" customHeight="1" thickBot="1" x14ac:dyDescent="0.35">
      <c r="A23" s="184">
        <v>158</v>
      </c>
      <c r="B23" s="222" t="e">
        <f>IF(A23:A40="","",IF(N$4="sys/",VLOOKUP(A23:A40,#REF!,4,FALSE),VLOOKUP(A23:A40,#REF!,4,FALSE)))</f>
        <v>#REF!</v>
      </c>
      <c r="C23" s="223"/>
      <c r="D23" s="224"/>
      <c r="E23" s="225" t="e">
        <f>IF(A23:A40="","",IF(N$4="sys/",VLOOKUP(A23:A40,#REF!,7,FALSE),VLOOKUP(A23:A40,#REF!,7,FALSE)))</f>
        <v>#REF!</v>
      </c>
      <c r="F23" s="226"/>
      <c r="G23" s="118" t="e">
        <f>IF(A23:A40="","",IF(P$4="sys/",VLOOKUP(A23:A40,#REF!,9,FALSE),VLOOKUP(A23:A40,#REF!,9,FALSE)))</f>
        <v>#REF!</v>
      </c>
      <c r="H23" s="188" t="s">
        <v>106</v>
      </c>
      <c r="I23" s="118">
        <f t="shared" si="3"/>
        <v>2</v>
      </c>
      <c r="J23" s="145" t="e">
        <f>IF(A23:A40="","",IF(N$4="sys/",VLOOKUP(A23:A40,#REF!,8,FALSE),VLOOKUP(A23:A40,#REF!,8,FALSE)))</f>
        <v>#REF!</v>
      </c>
      <c r="K23" s="188">
        <v>2500</v>
      </c>
      <c r="L23" s="143">
        <f t="shared" si="0"/>
        <v>100</v>
      </c>
      <c r="M23" s="145">
        <f t="shared" si="1"/>
        <v>2800</v>
      </c>
      <c r="N23" s="145" t="str">
        <f t="shared" si="2"/>
        <v>27.27</v>
      </c>
      <c r="O23" s="146">
        <f t="shared" si="4"/>
        <v>68175</v>
      </c>
      <c r="P23" s="49"/>
      <c r="Q23" s="189">
        <v>28.17</v>
      </c>
      <c r="R23" s="189"/>
      <c r="S23" s="73"/>
      <c r="T23" s="71"/>
      <c r="AI23" s="115" t="e">
        <f>IF(#REF!="","",#REF!)</f>
        <v>#REF!</v>
      </c>
    </row>
    <row r="24" spans="1:35" s="50" customFormat="1" ht="30" customHeight="1" thickBot="1" x14ac:dyDescent="0.35">
      <c r="A24" s="184">
        <v>1088</v>
      </c>
      <c r="B24" s="222" t="e">
        <f>IF(A24:A41="","",IF(N$4="sys/",VLOOKUP(A24:A41,#REF!,4,FALSE),VLOOKUP(A24:A41,#REF!,4,FALSE)))</f>
        <v>#REF!</v>
      </c>
      <c r="C24" s="223"/>
      <c r="D24" s="224"/>
      <c r="E24" s="225" t="e">
        <f>IF(A24:A41="","",IF(N$4="sys/",VLOOKUP(A24:A41,#REF!,7,FALSE),VLOOKUP(A24:A41,#REF!,7,FALSE)))</f>
        <v>#REF!</v>
      </c>
      <c r="F24" s="226"/>
      <c r="G24" s="118" t="e">
        <f>IF(A24:A41="","",IF(P$4="sys/",VLOOKUP(A24:A41,#REF!,9,FALSE),VLOOKUP(A24:A41,#REF!,9,FALSE)))</f>
        <v>#REF!</v>
      </c>
      <c r="H24" s="188" t="s">
        <v>106</v>
      </c>
      <c r="I24" s="118">
        <f t="shared" si="3"/>
        <v>2</v>
      </c>
      <c r="J24" s="145" t="e">
        <f>IF(A24:A41="","",IF(N$4="sys/",VLOOKUP(A24:A41,#REF!,8,FALSE),VLOOKUP(A24:A41,#REF!,8,FALSE)))</f>
        <v>#REF!</v>
      </c>
      <c r="K24" s="188">
        <v>2000</v>
      </c>
      <c r="L24" s="143">
        <f t="shared" si="0"/>
        <v>80</v>
      </c>
      <c r="M24" s="145">
        <f t="shared" si="1"/>
        <v>2240</v>
      </c>
      <c r="N24" s="145" t="str">
        <f t="shared" si="2"/>
        <v>33.48</v>
      </c>
      <c r="O24" s="146">
        <f t="shared" si="4"/>
        <v>66960</v>
      </c>
      <c r="P24" s="49"/>
      <c r="Q24" s="189">
        <v>34.380000000000003</v>
      </c>
      <c r="R24" s="189"/>
      <c r="S24" s="73"/>
      <c r="T24" s="71"/>
      <c r="AI24" s="115" t="e">
        <f>IF(#REF!="","",#REF!)</f>
        <v>#REF!</v>
      </c>
    </row>
    <row r="25" spans="1:35" s="50" customFormat="1" ht="30" customHeight="1" thickBot="1" x14ac:dyDescent="0.35">
      <c r="A25" s="184"/>
      <c r="B25" s="222" t="str">
        <f>IF(A25:A42="","",IF(N$4="sys/",VLOOKUP(A25:A42,#REF!,4,FALSE),VLOOKUP(A25:A42,#REF!,4,FALSE)))</f>
        <v/>
      </c>
      <c r="C25" s="223"/>
      <c r="D25" s="224"/>
      <c r="E25" s="225" t="str">
        <f>IF(A25:A42="","",IF(N$4="sys/",VLOOKUP(A25:A42,#REF!,7,FALSE),VLOOKUP(A25:A42,#REF!,7,FALSE)))</f>
        <v/>
      </c>
      <c r="F25" s="226"/>
      <c r="G25" s="118" t="str">
        <f>IF(A25:A42="","",IF(P$4="sys/",VLOOKUP(A25:A42,#REF!,9,FALSE),VLOOKUP(A25:A42,#REF!,9,FALSE)))</f>
        <v/>
      </c>
      <c r="H25" s="188"/>
      <c r="I25" s="118" t="str">
        <f t="shared" si="3"/>
        <v/>
      </c>
      <c r="J25" s="145" t="str">
        <f>IF(A25:A42="","",IF(N$4="sys/",VLOOKUP(A25:A42,#REF!,8,FALSE),VLOOKUP(A25:A42,#REF!,8,FALSE)))</f>
        <v/>
      </c>
      <c r="K25" s="188"/>
      <c r="L25" s="143">
        <f t="shared" si="0"/>
        <v>0</v>
      </c>
      <c r="M25" s="145" t="str">
        <f t="shared" si="1"/>
        <v/>
      </c>
      <c r="N25" s="145" t="str">
        <f t="shared" si="2"/>
        <v/>
      </c>
      <c r="O25" s="146" t="str">
        <f t="shared" si="4"/>
        <v/>
      </c>
      <c r="P25" s="49"/>
      <c r="Q25" s="189"/>
      <c r="R25" s="189"/>
      <c r="S25" s="73"/>
      <c r="U25" s="50">
        <f t="shared" ref="U25:U30" si="5">Q25*K25*T25</f>
        <v>0</v>
      </c>
      <c r="AI25" s="115" t="e">
        <f>IF(#REF!="","",#REF!)</f>
        <v>#REF!</v>
      </c>
    </row>
    <row r="26" spans="1:35" s="50" customFormat="1" ht="30.75" customHeight="1" thickBot="1" x14ac:dyDescent="0.35">
      <c r="A26" s="184"/>
      <c r="B26" s="222" t="str">
        <f>IF(A26:A43="","",IF(N$4="sys/",VLOOKUP(A26:A43,#REF!,4,FALSE),VLOOKUP(A26:A43,#REF!,4,FALSE)))</f>
        <v/>
      </c>
      <c r="C26" s="223"/>
      <c r="D26" s="224"/>
      <c r="E26" s="225" t="str">
        <f>IF(A26:A43="","",IF(N$4="sys/",VLOOKUP(A26:A43,#REF!,7,FALSE),VLOOKUP(A26:A43,#REF!,7,FALSE)))</f>
        <v/>
      </c>
      <c r="F26" s="226"/>
      <c r="G26" s="118" t="str">
        <f>IF(A26:A43="","",IF(P$4="sys/",VLOOKUP(A26:A43,#REF!,9,FALSE),VLOOKUP(A26:A43,#REF!,9,FALSE)))</f>
        <v/>
      </c>
      <c r="H26" s="188"/>
      <c r="I26" s="118" t="str">
        <f t="shared" si="3"/>
        <v/>
      </c>
      <c r="J26" s="145" t="str">
        <f>IF(A26:A43="","",IF(N$4="sys/",VLOOKUP(A26:A43,#REF!,8,FALSE),VLOOKUP(A26:A43,#REF!,8,FALSE)))</f>
        <v/>
      </c>
      <c r="K26" s="188"/>
      <c r="L26" s="143">
        <f t="shared" si="0"/>
        <v>0</v>
      </c>
      <c r="M26" s="145" t="str">
        <f t="shared" si="1"/>
        <v/>
      </c>
      <c r="N26" s="145" t="str">
        <f t="shared" si="2"/>
        <v/>
      </c>
      <c r="O26" s="146" t="str">
        <f t="shared" si="4"/>
        <v/>
      </c>
      <c r="P26" s="49"/>
      <c r="Q26" s="189"/>
      <c r="R26" s="189"/>
      <c r="S26" s="73"/>
      <c r="U26" s="50">
        <f t="shared" si="5"/>
        <v>0</v>
      </c>
      <c r="AI26" s="115" t="e">
        <f>IF(#REF!="","",#REF!)</f>
        <v>#REF!</v>
      </c>
    </row>
    <row r="27" spans="1:35" s="50" customFormat="1" ht="30" customHeight="1" thickBot="1" x14ac:dyDescent="0.35">
      <c r="A27" s="184"/>
      <c r="B27" s="222" t="str">
        <f>IF(A27:A44="","",IF(N$4="sys/",VLOOKUP(A27:A44,#REF!,4,FALSE),VLOOKUP(A27:A44,#REF!,4,FALSE)))</f>
        <v/>
      </c>
      <c r="C27" s="223"/>
      <c r="D27" s="224"/>
      <c r="E27" s="225" t="str">
        <f>IF(A27:A44="","",IF(N$4="sys/",VLOOKUP(A27:A44,#REF!,7,FALSE),VLOOKUP(A27:A44,#REF!,7,FALSE)))</f>
        <v/>
      </c>
      <c r="F27" s="226"/>
      <c r="G27" s="118" t="str">
        <f>IF(A27:A44="","",IF(P$4="sys/",VLOOKUP(A27:A44,#REF!,9,FALSE),VLOOKUP(A27:A44,#REF!,9,FALSE)))</f>
        <v/>
      </c>
      <c r="H27" s="188"/>
      <c r="I27" s="118" t="str">
        <f t="shared" si="3"/>
        <v/>
      </c>
      <c r="J27" s="145" t="str">
        <f>IF(A27:A44="","",IF(N$4="sys/",VLOOKUP(A27:A44,#REF!,8,FALSE),VLOOKUP(A27:A44,#REF!,8,FALSE)))</f>
        <v/>
      </c>
      <c r="K27" s="188"/>
      <c r="L27" s="143">
        <f t="shared" si="0"/>
        <v>0</v>
      </c>
      <c r="M27" s="145" t="str">
        <f t="shared" si="1"/>
        <v/>
      </c>
      <c r="N27" s="145" t="str">
        <f t="shared" si="2"/>
        <v/>
      </c>
      <c r="O27" s="146" t="str">
        <f t="shared" si="4"/>
        <v/>
      </c>
      <c r="P27" s="49"/>
      <c r="Q27" s="189"/>
      <c r="R27" s="189"/>
      <c r="S27" s="73"/>
      <c r="U27" s="50">
        <f t="shared" si="5"/>
        <v>0</v>
      </c>
      <c r="AI27" s="115" t="e">
        <f>IF(#REF!="","",#REF!)</f>
        <v>#REF!</v>
      </c>
    </row>
    <row r="28" spans="1:35" s="50" customFormat="1" ht="30" customHeight="1" thickBot="1" x14ac:dyDescent="0.35">
      <c r="A28" s="184"/>
      <c r="B28" s="222" t="str">
        <f>IF(A28:A45="","",IF(N$4="sys/",VLOOKUP(A28:A45,#REF!,4,FALSE),VLOOKUP(A28:A45,#REF!,4,FALSE)))</f>
        <v/>
      </c>
      <c r="C28" s="223"/>
      <c r="D28" s="224"/>
      <c r="E28" s="225" t="str">
        <f>IF(A28:A45="","",IF(N$4="sys/",VLOOKUP(A28:A45,#REF!,7,FALSE),VLOOKUP(A28:A45,#REF!,7,FALSE)))</f>
        <v/>
      </c>
      <c r="F28" s="226"/>
      <c r="G28" s="118" t="str">
        <f>IF(A28:A45="","",IF(P$4="sys/",VLOOKUP(A28:A45,#REF!,9,FALSE),VLOOKUP(A28:A45,#REF!,9,FALSE)))</f>
        <v/>
      </c>
      <c r="H28" s="188"/>
      <c r="I28" s="118" t="str">
        <f t="shared" si="3"/>
        <v/>
      </c>
      <c r="J28" s="145" t="str">
        <f>IF(A28:A45="","",IF(N$4="sys/",VLOOKUP(A28:A45,#REF!,8,FALSE),VLOOKUP(A28:A45,#REF!,8,FALSE)))</f>
        <v/>
      </c>
      <c r="K28" s="188"/>
      <c r="L28" s="143">
        <f t="shared" si="0"/>
        <v>0</v>
      </c>
      <c r="M28" s="145" t="str">
        <f t="shared" si="1"/>
        <v/>
      </c>
      <c r="N28" s="145" t="str">
        <f t="shared" si="2"/>
        <v/>
      </c>
      <c r="O28" s="146" t="str">
        <f t="shared" si="4"/>
        <v/>
      </c>
      <c r="P28" s="49"/>
      <c r="Q28" s="190"/>
      <c r="R28" s="190"/>
      <c r="S28" s="73"/>
      <c r="T28" s="63"/>
      <c r="U28" s="50">
        <f t="shared" si="5"/>
        <v>0</v>
      </c>
    </row>
    <row r="29" spans="1:35" s="50" customFormat="1" ht="30" customHeight="1" thickBot="1" x14ac:dyDescent="0.35">
      <c r="A29" s="184"/>
      <c r="B29" s="222" t="str">
        <f>IF(A29:A46="","",IF(N$4="sys/",VLOOKUP(A29:A46,#REF!,4,FALSE),VLOOKUP(A29:A46,#REF!,4,FALSE)))</f>
        <v/>
      </c>
      <c r="C29" s="223"/>
      <c r="D29" s="224"/>
      <c r="E29" s="225" t="str">
        <f>IF(A29:A46="","",IF(N$4="sys/",VLOOKUP(A29:A46,#REF!,7,FALSE),VLOOKUP(A29:A46,#REF!,7,FALSE)))</f>
        <v/>
      </c>
      <c r="F29" s="226"/>
      <c r="G29" s="118" t="str">
        <f>IF(A29:A46="","",IF(P$4="sys/",VLOOKUP(A29:A46,#REF!,9,FALSE),VLOOKUP(A29:A46,#REF!,9,FALSE)))</f>
        <v/>
      </c>
      <c r="H29" s="188"/>
      <c r="I29" s="118" t="str">
        <f t="shared" si="3"/>
        <v/>
      </c>
      <c r="J29" s="145" t="str">
        <f>IF(A29:A46="","",IF(N$4="sys/",VLOOKUP(A29:A46,#REF!,8,FALSE),VLOOKUP(A29:A46,#REF!,8,FALSE)))</f>
        <v/>
      </c>
      <c r="K29" s="188"/>
      <c r="L29" s="143">
        <f t="shared" si="0"/>
        <v>0</v>
      </c>
      <c r="M29" s="145" t="str">
        <f t="shared" si="1"/>
        <v/>
      </c>
      <c r="N29" s="145" t="str">
        <f t="shared" si="2"/>
        <v/>
      </c>
      <c r="O29" s="146" t="str">
        <f t="shared" si="4"/>
        <v/>
      </c>
      <c r="P29" s="49"/>
      <c r="Q29" s="190"/>
      <c r="R29" s="190"/>
      <c r="S29" s="73"/>
      <c r="T29" s="63"/>
      <c r="U29" s="50">
        <f t="shared" si="5"/>
        <v>0</v>
      </c>
    </row>
    <row r="30" spans="1:35" s="50" customFormat="1" ht="30" customHeight="1" thickBot="1" x14ac:dyDescent="0.35">
      <c r="A30" s="184"/>
      <c r="B30" s="222" t="str">
        <f>IF(A30:A47="","",IF(N$4="sys/",VLOOKUP(A30:A47,#REF!,4,FALSE),VLOOKUP(A30:A47,#REF!,4,FALSE)))</f>
        <v/>
      </c>
      <c r="C30" s="223"/>
      <c r="D30" s="224"/>
      <c r="E30" s="225" t="str">
        <f>IF(A30:A47="","",IF(N$4="sys/",VLOOKUP(A30:A47,#REF!,7,FALSE),VLOOKUP(A30:A47,#REF!,7,FALSE)))</f>
        <v/>
      </c>
      <c r="F30" s="226"/>
      <c r="G30" s="118" t="str">
        <f>IF(A30:A47="","",IF(P$4="sys/",VLOOKUP(A30:A47,#REF!,9,FALSE),VLOOKUP(A30:A47,#REF!,9,FALSE)))</f>
        <v/>
      </c>
      <c r="H30" s="188"/>
      <c r="I30" s="118" t="str">
        <f t="shared" si="3"/>
        <v/>
      </c>
      <c r="J30" s="145" t="str">
        <f>IF(A30:A47="","",IF(N$4="sys/",VLOOKUP(A30:A47,#REF!,8,FALSE),VLOOKUP(A30:A47,#REF!,8,FALSE)))</f>
        <v/>
      </c>
      <c r="K30" s="188"/>
      <c r="L30" s="143">
        <f t="shared" si="0"/>
        <v>0</v>
      </c>
      <c r="M30" s="145" t="str">
        <f t="shared" si="1"/>
        <v/>
      </c>
      <c r="N30" s="145" t="str">
        <f t="shared" si="2"/>
        <v/>
      </c>
      <c r="O30" s="146" t="str">
        <f t="shared" si="4"/>
        <v/>
      </c>
      <c r="P30" s="49"/>
      <c r="Q30" s="190"/>
      <c r="R30" s="190"/>
      <c r="S30" s="73"/>
      <c r="T30" s="63"/>
      <c r="U30" s="50">
        <f t="shared" si="5"/>
        <v>0</v>
      </c>
    </row>
    <row r="31" spans="1:35" s="50" customFormat="1" ht="30" customHeight="1" thickBot="1" x14ac:dyDescent="0.35">
      <c r="A31" s="184"/>
      <c r="B31" s="222" t="str">
        <f>IF(A31:A48="","",IF(N$4="sys/",VLOOKUP(A31:A48,#REF!,4,FALSE),VLOOKUP(A31:A48,#REF!,4,FALSE)))</f>
        <v/>
      </c>
      <c r="C31" s="223"/>
      <c r="D31" s="224"/>
      <c r="E31" s="225" t="str">
        <f>IF(A31:A48="","",IF(N$4="sys/",VLOOKUP(A31:A48,#REF!,7,FALSE),VLOOKUP(A31:A48,#REF!,7,FALSE)))</f>
        <v/>
      </c>
      <c r="F31" s="226"/>
      <c r="G31" s="118" t="str">
        <f>IF(A31:A48="","",IF(P$4="sys/",VLOOKUP(A31:A48,#REF!,9,FALSE),VLOOKUP(A31:A48,#REF!,9,FALSE)))</f>
        <v/>
      </c>
      <c r="H31" s="188"/>
      <c r="I31" s="118" t="str">
        <f t="shared" si="3"/>
        <v/>
      </c>
      <c r="J31" s="145" t="str">
        <f>IF(A31:A48="","",IF(N$4="sys/",VLOOKUP(A31:A48,#REF!,8,FALSE),VLOOKUP(A31:A48,#REF!,8,FALSE)))</f>
        <v/>
      </c>
      <c r="K31" s="188"/>
      <c r="L31" s="143">
        <f t="shared" si="0"/>
        <v>0</v>
      </c>
      <c r="M31" s="145" t="str">
        <f t="shared" si="1"/>
        <v/>
      </c>
      <c r="N31" s="145" t="str">
        <f t="shared" si="2"/>
        <v/>
      </c>
      <c r="O31" s="146" t="str">
        <f t="shared" si="4"/>
        <v/>
      </c>
      <c r="P31" s="49"/>
      <c r="Q31" s="190"/>
      <c r="R31" s="116"/>
      <c r="T31" s="63"/>
      <c r="U31" s="50">
        <f>SUM(U17:U30)</f>
        <v>0</v>
      </c>
    </row>
    <row r="32" spans="1:35" s="50" customFormat="1" ht="30" customHeight="1" thickBot="1" x14ac:dyDescent="0.35">
      <c r="A32" s="184"/>
      <c r="B32" s="222" t="str">
        <f>IF(A32:A49="","",IF(N$4="sys/",VLOOKUP(A32:A49,#REF!,4,FALSE),VLOOKUP(A32:A49,#REF!,4,FALSE)))</f>
        <v/>
      </c>
      <c r="C32" s="223"/>
      <c r="D32" s="224"/>
      <c r="E32" s="225" t="str">
        <f>IF(A32:A49="","",IF(N$4="sys/",VLOOKUP(A32:A49,#REF!,7,FALSE),VLOOKUP(A32:A49,#REF!,7,FALSE)))</f>
        <v/>
      </c>
      <c r="F32" s="226"/>
      <c r="G32" s="118" t="str">
        <f>IF(A32:A49="","",IF(P$4="sys/",VLOOKUP(A32:A49,#REF!,9,FALSE),VLOOKUP(A32:A49,#REF!,9,FALSE)))</f>
        <v/>
      </c>
      <c r="H32" s="188"/>
      <c r="I32" s="118" t="str">
        <f t="shared" si="3"/>
        <v/>
      </c>
      <c r="J32" s="145" t="str">
        <f>IF(A32:A49="","",IF(N$4="sys/",VLOOKUP(A32:A49,#REF!,8,FALSE),VLOOKUP(A32:A49,#REF!,8,FALSE)))</f>
        <v/>
      </c>
      <c r="K32" s="188"/>
      <c r="L32" s="143">
        <f t="shared" si="0"/>
        <v>0</v>
      </c>
      <c r="M32" s="145" t="str">
        <f t="shared" si="1"/>
        <v/>
      </c>
      <c r="N32" s="145" t="str">
        <f t="shared" si="2"/>
        <v/>
      </c>
      <c r="O32" s="146" t="str">
        <f t="shared" si="4"/>
        <v/>
      </c>
      <c r="P32" s="49"/>
      <c r="Q32" s="190"/>
      <c r="R32" s="116"/>
      <c r="T32" s="63"/>
      <c r="U32" s="191">
        <f>SUM(U17:U30)/O44</f>
        <v>0</v>
      </c>
    </row>
    <row r="33" spans="1:35" s="50" customFormat="1" ht="30" customHeight="1" thickBot="1" x14ac:dyDescent="0.35">
      <c r="A33" s="184"/>
      <c r="B33" s="222" t="str">
        <f>IF(A33:A50="","",IF(N$4="sys/",VLOOKUP(A33:A50,#REF!,4,FALSE),VLOOKUP(A33:A50,#REF!,4,FALSE)))</f>
        <v/>
      </c>
      <c r="C33" s="223"/>
      <c r="D33" s="224"/>
      <c r="E33" s="225" t="str">
        <f>IF(A33:A50="","",IF(N$4="sys/",VLOOKUP(A33:A50,#REF!,7,FALSE),VLOOKUP(A33:A50,#REF!,7,FALSE)))</f>
        <v/>
      </c>
      <c r="F33" s="226"/>
      <c r="G33" s="118" t="str">
        <f>IF(A33:A50="","",IF(P$4="sys/",VLOOKUP(A33:A50,#REF!,9,FALSE),VLOOKUP(A33:A50,#REF!,9,FALSE)))</f>
        <v/>
      </c>
      <c r="H33" s="188"/>
      <c r="I33" s="118" t="str">
        <f t="shared" si="3"/>
        <v/>
      </c>
      <c r="J33" s="145" t="str">
        <f>IF(A33:A50="","",IF(N$4="sys/",VLOOKUP(A33:A50,#REF!,8,FALSE),VLOOKUP(A33:A50,#REF!,8,FALSE)))</f>
        <v/>
      </c>
      <c r="K33" s="188"/>
      <c r="L33" s="143">
        <f t="shared" si="0"/>
        <v>0</v>
      </c>
      <c r="M33" s="145" t="str">
        <f t="shared" si="1"/>
        <v/>
      </c>
      <c r="N33" s="145" t="str">
        <f t="shared" si="2"/>
        <v/>
      </c>
      <c r="O33" s="146" t="str">
        <f t="shared" si="4"/>
        <v/>
      </c>
      <c r="P33" s="49"/>
      <c r="Q33" s="190"/>
      <c r="R33" s="116"/>
      <c r="T33" s="63"/>
      <c r="AI33"/>
    </row>
    <row r="34" spans="1:35" s="50" customFormat="1" ht="30" customHeight="1" thickBot="1" x14ac:dyDescent="0.35">
      <c r="A34" s="185"/>
      <c r="B34" s="222" t="str">
        <f>IF(A34:A51="","",IF(N$4="sys/",VLOOKUP(A34:A51,#REF!,4,FALSE),VLOOKUP(A34:A51,#REF!,4,FALSE)))</f>
        <v/>
      </c>
      <c r="C34" s="223"/>
      <c r="D34" s="224"/>
      <c r="E34" s="225" t="str">
        <f>IF(A34:A51="","",IF(N$4="sys/",VLOOKUP(A34:A51,#REF!,7,FALSE),VLOOKUP(A34:A51,#REF!,7,FALSE)))</f>
        <v/>
      </c>
      <c r="F34" s="226"/>
      <c r="G34" s="118" t="str">
        <f>IF(A34:A51="","",IF(P$4="sys/",VLOOKUP(A34:A51,#REF!,9,FALSE),VLOOKUP(A34:A51,#REF!,9,FALSE)))</f>
        <v/>
      </c>
      <c r="H34" s="188"/>
      <c r="I34" s="118" t="str">
        <f t="shared" si="3"/>
        <v/>
      </c>
      <c r="J34" s="145" t="str">
        <f>IF(A34:A51="","",IF(N$4="sys/",VLOOKUP(A34:A51,#REF!,8,FALSE),VLOOKUP(A34:A51,#REF!,8,FALSE)))</f>
        <v/>
      </c>
      <c r="K34" s="188"/>
      <c r="L34" s="143">
        <f t="shared" si="0"/>
        <v>0</v>
      </c>
      <c r="M34" s="145" t="str">
        <f t="shared" si="1"/>
        <v/>
      </c>
      <c r="N34" s="145" t="str">
        <f t="shared" si="2"/>
        <v/>
      </c>
      <c r="O34" s="146" t="str">
        <f t="shared" si="4"/>
        <v/>
      </c>
      <c r="P34" s="49"/>
      <c r="Q34" s="190"/>
      <c r="R34" s="116"/>
      <c r="T34" s="63"/>
      <c r="AI34"/>
    </row>
    <row r="35" spans="1:35" ht="17.25" thickBot="1" x14ac:dyDescent="0.35">
      <c r="A35" s="147" t="s">
        <v>5</v>
      </c>
      <c r="B35" s="148"/>
      <c r="C35" s="148"/>
      <c r="D35" s="148"/>
      <c r="E35" s="148"/>
      <c r="F35" s="148"/>
      <c r="G35" s="148"/>
      <c r="H35" s="148"/>
      <c r="I35" s="148">
        <f>AVERAGE(I17:I34)</f>
        <v>2</v>
      </c>
      <c r="J35" s="148"/>
      <c r="K35" s="149">
        <f>SUM(K17:K34)</f>
        <v>11000</v>
      </c>
      <c r="L35" s="149"/>
      <c r="M35" s="149">
        <f>SUM(M17:M34)</f>
        <v>12320</v>
      </c>
      <c r="N35" s="149"/>
      <c r="O35" s="150">
        <f>SUM(O17:O34)</f>
        <v>455505</v>
      </c>
      <c r="Q35" t="s">
        <v>125</v>
      </c>
      <c r="R35" s="76"/>
      <c r="S35" s="76"/>
      <c r="T35" s="76"/>
    </row>
    <row r="36" spans="1:35" ht="21" x14ac:dyDescent="0.3">
      <c r="A36" s="227" t="s">
        <v>37</v>
      </c>
      <c r="B36" s="228"/>
      <c r="C36" s="229" t="s">
        <v>40</v>
      </c>
      <c r="D36" s="229"/>
      <c r="E36" s="152"/>
      <c r="F36" s="152"/>
      <c r="G36" s="152"/>
      <c r="H36" s="152"/>
      <c r="I36" s="152"/>
      <c r="J36" s="152"/>
      <c r="K36" s="152"/>
      <c r="L36" s="152"/>
      <c r="M36" s="230" t="s">
        <v>21</v>
      </c>
      <c r="N36" s="231"/>
      <c r="O36" s="153">
        <f>O35</f>
        <v>455505</v>
      </c>
      <c r="T36" s="46"/>
    </row>
    <row r="37" spans="1:35" ht="18.75" x14ac:dyDescent="0.3">
      <c r="A37" s="227" t="s">
        <v>38</v>
      </c>
      <c r="B37" s="228"/>
      <c r="C37" s="232" t="s">
        <v>145</v>
      </c>
      <c r="D37" s="232"/>
      <c r="E37" s="152"/>
      <c r="F37" s="152"/>
      <c r="G37" s="152"/>
      <c r="H37" s="152"/>
      <c r="I37" s="152"/>
      <c r="J37" s="152"/>
      <c r="K37" s="152"/>
      <c r="L37" s="152"/>
      <c r="M37" s="233" t="s">
        <v>22</v>
      </c>
      <c r="N37" s="234"/>
      <c r="O37" s="154">
        <v>9900</v>
      </c>
      <c r="T37" s="47"/>
    </row>
    <row r="38" spans="1:35" ht="16.5" customHeight="1" x14ac:dyDescent="0.3">
      <c r="A38" s="132" t="s">
        <v>46</v>
      </c>
      <c r="B38" s="152"/>
      <c r="C38" s="155" t="s">
        <v>28</v>
      </c>
      <c r="D38" s="152"/>
      <c r="E38" s="152"/>
      <c r="F38" s="152"/>
      <c r="G38" s="152"/>
      <c r="H38" s="152"/>
      <c r="I38" s="152"/>
      <c r="J38" s="152"/>
      <c r="K38" s="152"/>
      <c r="L38" s="152"/>
      <c r="M38" s="239" t="s">
        <v>26</v>
      </c>
      <c r="N38" s="240"/>
      <c r="O38" s="156">
        <v>0</v>
      </c>
      <c r="U38" s="69"/>
    </row>
    <row r="39" spans="1:35" ht="16.5" customHeight="1" x14ac:dyDescent="0.3">
      <c r="A39" s="157" t="str">
        <f>IF(B1=X1,Z3,AA3)</f>
        <v>PAYEE:SINOCHEM TIANJIN CO., LTD</v>
      </c>
      <c r="B39" s="152"/>
      <c r="C39" s="152"/>
      <c r="D39" s="152"/>
      <c r="E39" s="152"/>
      <c r="F39" s="152"/>
      <c r="G39" s="152"/>
      <c r="H39" s="152"/>
      <c r="I39" s="152"/>
      <c r="J39" s="152"/>
      <c r="K39" s="152"/>
      <c r="L39" s="152"/>
      <c r="M39" s="239" t="s">
        <v>27</v>
      </c>
      <c r="N39" s="240"/>
      <c r="O39" s="156">
        <v>0</v>
      </c>
    </row>
    <row r="40" spans="1:35" ht="16.5" customHeight="1" x14ac:dyDescent="0.3">
      <c r="A40" s="158" t="s">
        <v>13</v>
      </c>
      <c r="B40" s="152"/>
      <c r="C40" s="152"/>
      <c r="D40" s="152"/>
      <c r="E40" s="152"/>
      <c r="F40" s="152"/>
      <c r="G40" s="152"/>
      <c r="H40" s="152"/>
      <c r="I40" s="152"/>
      <c r="J40" s="152"/>
      <c r="K40" s="152"/>
      <c r="L40" s="152"/>
      <c r="M40" s="152"/>
      <c r="N40" s="152"/>
      <c r="O40" s="156">
        <v>0</v>
      </c>
    </row>
    <row r="41" spans="1:35" ht="16.5" customHeight="1" x14ac:dyDescent="0.3">
      <c r="A41" s="158" t="s">
        <v>14</v>
      </c>
      <c r="B41" s="152"/>
      <c r="C41" s="152"/>
      <c r="D41" s="152"/>
      <c r="E41" s="152"/>
      <c r="F41" s="152"/>
      <c r="G41" s="152"/>
      <c r="H41" s="152"/>
      <c r="I41" s="152"/>
      <c r="J41" s="152"/>
      <c r="K41" s="152"/>
      <c r="L41" s="152"/>
      <c r="M41" s="152"/>
      <c r="N41" s="152"/>
      <c r="O41" s="156">
        <v>0</v>
      </c>
    </row>
    <row r="42" spans="1:35" ht="16.5" customHeight="1" x14ac:dyDescent="0.3">
      <c r="A42" s="158" t="s">
        <v>15</v>
      </c>
      <c r="B42" s="152"/>
      <c r="C42" s="152"/>
      <c r="D42" s="152"/>
      <c r="E42" s="152"/>
      <c r="F42" s="152"/>
      <c r="G42" s="152"/>
      <c r="H42" s="152"/>
      <c r="I42" s="152"/>
      <c r="J42" s="152"/>
      <c r="K42" s="152"/>
      <c r="L42" s="152"/>
      <c r="M42" s="152"/>
      <c r="N42" s="152"/>
      <c r="O42" s="156">
        <v>0</v>
      </c>
    </row>
    <row r="43" spans="1:35" ht="16.5" customHeight="1" x14ac:dyDescent="0.3">
      <c r="A43" s="158" t="s">
        <v>16</v>
      </c>
      <c r="B43" s="152"/>
      <c r="C43" s="152"/>
      <c r="D43" s="152"/>
      <c r="E43" s="152"/>
      <c r="F43" s="152"/>
      <c r="G43" s="152"/>
      <c r="H43" s="152"/>
      <c r="I43" s="152"/>
      <c r="J43" s="152"/>
      <c r="K43" s="152"/>
      <c r="L43" s="152"/>
      <c r="M43" s="152"/>
      <c r="N43" s="152"/>
      <c r="O43" s="156">
        <v>0</v>
      </c>
      <c r="Q43" s="72">
        <v>426655.25</v>
      </c>
    </row>
    <row r="44" spans="1:35" ht="21.75" thickBot="1" x14ac:dyDescent="0.4">
      <c r="A44" s="158" t="str">
        <f>IF(B1=X1,Z2,AA2)</f>
        <v>ACCOUNT NUMBER:10002000096220000016</v>
      </c>
      <c r="B44" s="133"/>
      <c r="C44" s="133"/>
      <c r="D44" s="133"/>
      <c r="E44" s="133"/>
      <c r="F44" s="133"/>
      <c r="G44" s="133"/>
      <c r="H44" s="133"/>
      <c r="I44" s="133"/>
      <c r="J44" s="133"/>
      <c r="K44" s="133"/>
      <c r="L44" s="133"/>
      <c r="M44" s="241" t="s">
        <v>25</v>
      </c>
      <c r="N44" s="242"/>
      <c r="O44" s="159">
        <f>SUM(O36+O37)</f>
        <v>465405</v>
      </c>
    </row>
    <row r="45" spans="1:35" ht="18.75" thickBot="1" x14ac:dyDescent="0.35">
      <c r="A45" s="243" t="s">
        <v>83</v>
      </c>
      <c r="B45" s="244"/>
      <c r="C45" s="245" t="e">
        <f ca="1">SpellNumber(O44)</f>
        <v>#NAME?</v>
      </c>
      <c r="D45" s="245"/>
      <c r="E45" s="245"/>
      <c r="F45" s="245"/>
      <c r="G45" s="245"/>
      <c r="H45" s="245"/>
      <c r="I45" s="245"/>
      <c r="J45" s="245"/>
      <c r="K45" s="246"/>
      <c r="L45" s="160"/>
      <c r="M45" s="133"/>
      <c r="N45" s="133"/>
      <c r="O45" s="161" t="s">
        <v>51</v>
      </c>
    </row>
    <row r="46" spans="1:35" x14ac:dyDescent="0.3">
      <c r="A46" s="247"/>
      <c r="B46" s="248"/>
      <c r="C46" s="248"/>
      <c r="D46" s="248"/>
      <c r="E46" s="248"/>
      <c r="F46" s="248"/>
      <c r="G46" s="248"/>
      <c r="H46" s="248"/>
      <c r="I46" s="248"/>
      <c r="J46" s="248"/>
      <c r="K46" s="248"/>
      <c r="L46" s="162"/>
      <c r="M46" s="133"/>
      <c r="N46" s="133"/>
      <c r="O46" s="163"/>
    </row>
    <row r="47" spans="1:35" ht="16.5" x14ac:dyDescent="0.3">
      <c r="A47" s="164" t="s">
        <v>8</v>
      </c>
      <c r="B47" s="165"/>
      <c r="C47" s="165"/>
      <c r="D47" s="165"/>
      <c r="E47" s="165"/>
      <c r="F47" s="165"/>
      <c r="G47" s="165"/>
      <c r="H47" s="165"/>
      <c r="I47" s="165"/>
      <c r="J47" s="165"/>
      <c r="K47" s="165"/>
      <c r="L47" s="165"/>
      <c r="M47" s="165"/>
      <c r="N47" s="165"/>
      <c r="O47" s="166"/>
    </row>
    <row r="48" spans="1:35" x14ac:dyDescent="0.3">
      <c r="A48" s="167" t="s">
        <v>4</v>
      </c>
      <c r="B48" s="168"/>
      <c r="C48" s="168" t="s">
        <v>28</v>
      </c>
      <c r="D48" s="168"/>
      <c r="E48" s="168"/>
      <c r="F48" s="168"/>
      <c r="G48" s="133"/>
      <c r="H48" s="133"/>
      <c r="I48" s="133"/>
      <c r="J48" s="133"/>
      <c r="K48" s="133"/>
      <c r="L48" s="133"/>
      <c r="M48" s="133"/>
      <c r="N48" s="133"/>
      <c r="O48" s="163"/>
    </row>
    <row r="49" spans="1:21" x14ac:dyDescent="0.3">
      <c r="A49" s="167" t="s">
        <v>2</v>
      </c>
      <c r="B49" s="168"/>
      <c r="C49" s="168" t="s">
        <v>28</v>
      </c>
      <c r="D49" s="168"/>
      <c r="E49" s="168"/>
      <c r="F49" s="168"/>
      <c r="G49" s="133"/>
      <c r="H49" s="133"/>
      <c r="I49" s="133"/>
      <c r="J49" s="133"/>
      <c r="K49" s="133"/>
      <c r="L49" s="133"/>
      <c r="M49" s="133"/>
      <c r="N49" s="133"/>
      <c r="O49" s="163"/>
      <c r="U49" t="e">
        <f ca="1">SpellNumber(O44)</f>
        <v>#NAME?</v>
      </c>
    </row>
    <row r="50" spans="1:21" x14ac:dyDescent="0.3">
      <c r="A50" s="167" t="s">
        <v>3</v>
      </c>
      <c r="B50" s="168"/>
      <c r="C50" s="168" t="s">
        <v>29</v>
      </c>
      <c r="D50" s="168"/>
      <c r="E50" s="168"/>
      <c r="F50" s="168"/>
      <c r="G50" s="133"/>
      <c r="H50" s="133"/>
      <c r="I50" s="133"/>
      <c r="J50" s="133"/>
      <c r="K50" s="133"/>
      <c r="L50" s="133"/>
      <c r="M50" s="133"/>
      <c r="N50" s="133"/>
      <c r="O50" s="163"/>
    </row>
    <row r="51" spans="1:21" x14ac:dyDescent="0.3">
      <c r="A51" s="167"/>
      <c r="B51" s="168"/>
      <c r="C51" s="168"/>
      <c r="D51" s="168"/>
      <c r="E51" s="168"/>
      <c r="F51" s="168"/>
      <c r="G51" s="133"/>
      <c r="H51" s="133"/>
      <c r="I51" s="133"/>
      <c r="J51" s="133"/>
      <c r="K51" s="133"/>
      <c r="L51" s="133"/>
      <c r="M51" s="133"/>
      <c r="N51" s="133"/>
      <c r="O51" s="163"/>
      <c r="T51" t="e">
        <f ca="1">SpellNumber(O44)</f>
        <v>#NAME?</v>
      </c>
    </row>
    <row r="52" spans="1:21" x14ac:dyDescent="0.3">
      <c r="A52" s="169" t="s">
        <v>6</v>
      </c>
      <c r="B52" s="151"/>
      <c r="C52" s="229" t="s">
        <v>24</v>
      </c>
      <c r="D52" s="229"/>
      <c r="E52" s="229"/>
      <c r="F52" s="229"/>
      <c r="G52" s="170"/>
      <c r="H52" s="170"/>
      <c r="I52" s="170"/>
      <c r="J52" s="170"/>
      <c r="K52" s="170"/>
      <c r="L52" s="170"/>
      <c r="M52" s="170"/>
      <c r="N52" s="170"/>
      <c r="O52" s="163"/>
      <c r="T52" t="e">
        <f ca="1">SpellNumber(O44)</f>
        <v>#NAME?</v>
      </c>
    </row>
    <row r="53" spans="1:21" x14ac:dyDescent="0.3">
      <c r="A53" s="171"/>
      <c r="B53" s="170"/>
      <c r="C53" s="170"/>
      <c r="D53" s="170"/>
      <c r="E53" s="170"/>
      <c r="F53" s="170"/>
      <c r="G53" s="170"/>
      <c r="H53" s="170"/>
      <c r="I53" s="170"/>
      <c r="J53" s="170"/>
      <c r="K53" s="170"/>
      <c r="L53" s="170"/>
      <c r="M53" s="170"/>
      <c r="N53" s="170"/>
      <c r="O53" s="163"/>
      <c r="T53" t="e">
        <f ca="1">SpellNumber(O44)</f>
        <v>#NAME?</v>
      </c>
    </row>
    <row r="54" spans="1:21" ht="15" customHeight="1" x14ac:dyDescent="0.3">
      <c r="A54" s="235" t="s">
        <v>30</v>
      </c>
      <c r="B54" s="236"/>
      <c r="C54" s="236"/>
      <c r="D54" s="236"/>
      <c r="E54" s="236"/>
      <c r="F54" s="236"/>
      <c r="G54" s="236"/>
      <c r="H54" s="172"/>
      <c r="I54" s="172"/>
      <c r="J54" s="170"/>
      <c r="K54" s="170"/>
      <c r="L54" s="170"/>
      <c r="M54" s="170"/>
      <c r="N54" s="170"/>
      <c r="O54" s="163"/>
    </row>
    <row r="55" spans="1:21" x14ac:dyDescent="0.3">
      <c r="A55" s="235"/>
      <c r="B55" s="236"/>
      <c r="C55" s="236"/>
      <c r="D55" s="236"/>
      <c r="E55" s="236"/>
      <c r="F55" s="236"/>
      <c r="G55" s="236"/>
      <c r="H55" s="172"/>
      <c r="I55" s="172"/>
      <c r="J55" s="170"/>
      <c r="K55" s="170"/>
      <c r="L55" s="170"/>
      <c r="M55" s="170"/>
      <c r="N55" s="170"/>
      <c r="O55" s="163"/>
    </row>
    <row r="56" spans="1:21" x14ac:dyDescent="0.3">
      <c r="A56" s="235"/>
      <c r="B56" s="236"/>
      <c r="C56" s="236"/>
      <c r="D56" s="236"/>
      <c r="E56" s="236"/>
      <c r="F56" s="236"/>
      <c r="G56" s="236"/>
      <c r="H56" s="172"/>
      <c r="I56" s="172"/>
      <c r="J56" s="170"/>
      <c r="K56" s="170"/>
      <c r="L56" s="170"/>
      <c r="M56" s="170"/>
      <c r="N56" s="170"/>
      <c r="O56" s="163"/>
    </row>
    <row r="57" spans="1:21" x14ac:dyDescent="0.3">
      <c r="A57" s="173" t="s">
        <v>147</v>
      </c>
      <c r="B57" s="174"/>
      <c r="C57" s="170"/>
      <c r="D57" s="170"/>
      <c r="E57" s="170"/>
      <c r="F57" s="170"/>
      <c r="G57" s="170"/>
      <c r="H57" s="170"/>
      <c r="I57" s="170"/>
      <c r="J57" s="170"/>
      <c r="K57" s="170"/>
      <c r="L57" s="170"/>
      <c r="M57" s="170"/>
      <c r="N57" s="170"/>
      <c r="O57" s="163"/>
    </row>
    <row r="58" spans="1:21" ht="15.75" thickBot="1" x14ac:dyDescent="0.35">
      <c r="A58" s="237" t="str">
        <f>IF(B1=X1,Z1,AA1)</f>
        <v>SINOCHEM TIANJIN CO., LTD</v>
      </c>
      <c r="B58" s="238" t="e">
        <f>IF(C57=#REF!,#REF!,#REF!)</f>
        <v>#REF!</v>
      </c>
      <c r="C58" s="238" t="e">
        <f>IF(D57=#REF!,#REF!,#REF!)</f>
        <v>#REF!</v>
      </c>
      <c r="D58" s="238" t="e">
        <f>IF(E57=#REF!,#REF!,#REF!)</f>
        <v>#REF!</v>
      </c>
      <c r="E58" s="175"/>
      <c r="F58" s="176"/>
      <c r="G58" s="176"/>
      <c r="H58" s="176"/>
      <c r="I58" s="176"/>
      <c r="J58" s="176"/>
      <c r="K58" s="176"/>
      <c r="L58" s="176"/>
      <c r="M58" s="176"/>
      <c r="N58" s="176"/>
      <c r="O58" s="177"/>
    </row>
  </sheetData>
  <mergeCells count="68">
    <mergeCell ref="A58:D58"/>
    <mergeCell ref="M38:N38"/>
    <mergeCell ref="M39:N39"/>
    <mergeCell ref="M44:N44"/>
    <mergeCell ref="A45:B45"/>
    <mergeCell ref="C45:K45"/>
    <mergeCell ref="A46:K46"/>
    <mergeCell ref="A37:B37"/>
    <mergeCell ref="C37:D37"/>
    <mergeCell ref="M37:N37"/>
    <mergeCell ref="C52:F52"/>
    <mergeCell ref="A54:G56"/>
    <mergeCell ref="B34:D34"/>
    <mergeCell ref="E34:F34"/>
    <mergeCell ref="A36:B36"/>
    <mergeCell ref="C36:D36"/>
    <mergeCell ref="M36:N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6:D16"/>
    <mergeCell ref="E16:F16"/>
    <mergeCell ref="B17:D17"/>
    <mergeCell ref="E17:F17"/>
    <mergeCell ref="B18:D18"/>
    <mergeCell ref="E18:F18"/>
    <mergeCell ref="M12:N12"/>
    <mergeCell ref="M13:N13"/>
    <mergeCell ref="Q13:R14"/>
    <mergeCell ref="M14:N14"/>
    <mergeCell ref="M15:N15"/>
    <mergeCell ref="A10:D10"/>
    <mergeCell ref="M10:N10"/>
    <mergeCell ref="A11:B11"/>
    <mergeCell ref="C11:D11"/>
    <mergeCell ref="M11:N11"/>
    <mergeCell ref="B1:F1"/>
    <mergeCell ref="N2:O2"/>
    <mergeCell ref="N3:O3"/>
    <mergeCell ref="K5:M5"/>
    <mergeCell ref="N5:O5"/>
  </mergeCells>
  <dataValidations count="3">
    <dataValidation type="list" allowBlank="1" showInputMessage="1" showErrorMessage="1" sqref="H17:H34" xr:uid="{00000000-0002-0000-0000-000000000000}">
      <formula1>$AF$11:$AF$12</formula1>
    </dataValidation>
    <dataValidation type="list" allowBlank="1" showInputMessage="1" showErrorMessage="1" sqref="B1:F1" xr:uid="{00000000-0002-0000-0000-000001000000}">
      <formula1>$X$1:$Y$1</formula1>
    </dataValidation>
    <dataValidation type="list" allowBlank="1" showInputMessage="1" showErrorMessage="1" sqref="A10:D10" xr:uid="{00000000-0002-0000-0000-000002000000}">
      <formula1>$AI$1:$AI$21</formula1>
    </dataValidation>
  </dataValidations>
  <printOptions horizontalCentered="1"/>
  <pageMargins left="0.511811023622047" right="0.511811023622047" top="0.511811023622047" bottom="0.511811023622047" header="0.511811023622047" footer="0.23622047244094499"/>
  <pageSetup scale="6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3"/>
  <dimension ref="A1:AD58"/>
  <sheetViews>
    <sheetView showGridLines="0" zoomScale="93" zoomScaleNormal="93" workbookViewId="0">
      <selection activeCell="A10" sqref="A10:D10"/>
    </sheetView>
  </sheetViews>
  <sheetFormatPr defaultRowHeight="15" x14ac:dyDescent="0.3"/>
  <cols>
    <col min="1" max="3" width="11.42578125" customWidth="1"/>
    <col min="4" max="4" width="21.140625" customWidth="1"/>
    <col min="5" max="5" width="11.42578125" customWidth="1"/>
    <col min="6" max="6" width="17" customWidth="1"/>
    <col min="7" max="7" width="8.140625" bestFit="1" customWidth="1"/>
    <col min="8" max="8" width="8.140625" customWidth="1"/>
    <col min="9" max="9" width="9.42578125" hidden="1" customWidth="1"/>
    <col min="10" max="11" width="11.42578125" customWidth="1"/>
    <col min="12" max="12" width="11.42578125" hidden="1" customWidth="1"/>
    <col min="13" max="14" width="11.42578125" customWidth="1"/>
    <col min="15" max="15" width="16.85546875" customWidth="1"/>
    <col min="16" max="16" width="10.85546875" bestFit="1" customWidth="1"/>
    <col min="17" max="17" width="9.85546875" bestFit="1" customWidth="1"/>
    <col min="20" max="20" width="11.85546875" bestFit="1" customWidth="1"/>
    <col min="24" max="24" width="13.7109375" bestFit="1" customWidth="1"/>
  </cols>
  <sheetData>
    <row r="1" spans="1:27" ht="78" customHeight="1" x14ac:dyDescent="0.45">
      <c r="A1" s="8"/>
      <c r="B1" s="306" t="s">
        <v>108</v>
      </c>
      <c r="C1" s="306"/>
      <c r="D1" s="306"/>
      <c r="E1" s="306"/>
      <c r="F1" s="306"/>
      <c r="G1" s="104"/>
      <c r="H1" s="104"/>
      <c r="I1" s="104"/>
      <c r="J1" s="104"/>
      <c r="K1" s="104"/>
      <c r="L1" s="104"/>
      <c r="M1" s="104"/>
      <c r="N1" s="104"/>
      <c r="O1" s="30" t="s">
        <v>7</v>
      </c>
      <c r="X1" s="87" t="s">
        <v>74</v>
      </c>
      <c r="Y1" s="88" t="s">
        <v>108</v>
      </c>
      <c r="Z1" s="38" t="s">
        <v>69</v>
      </c>
      <c r="AA1" s="38" t="s">
        <v>109</v>
      </c>
    </row>
    <row r="2" spans="1:27" ht="16.5" x14ac:dyDescent="0.3">
      <c r="A2" s="38" t="str">
        <f>IF(B1=X1,Z1,AA1)</f>
        <v>SINOCHEM TIANJIN CO., LTD</v>
      </c>
      <c r="B2" s="39"/>
      <c r="C2" s="39"/>
      <c r="D2" s="9"/>
      <c r="E2" s="9"/>
      <c r="F2" s="9"/>
      <c r="G2" s="9"/>
      <c r="H2" s="9"/>
      <c r="I2" s="9"/>
      <c r="J2" s="9"/>
      <c r="K2" s="35"/>
      <c r="L2" s="35"/>
      <c r="M2" s="36" t="s">
        <v>45</v>
      </c>
      <c r="N2" s="307">
        <v>42217</v>
      </c>
      <c r="O2" s="308"/>
      <c r="Z2" s="89" t="s">
        <v>110</v>
      </c>
      <c r="AA2" s="89" t="s">
        <v>111</v>
      </c>
    </row>
    <row r="3" spans="1:27" ht="16.5" x14ac:dyDescent="0.3">
      <c r="A3" s="40" t="s">
        <v>11</v>
      </c>
      <c r="B3" s="41"/>
      <c r="C3" s="41"/>
      <c r="D3" s="10"/>
      <c r="E3" s="10"/>
      <c r="F3" s="10"/>
      <c r="G3" s="10"/>
      <c r="H3" s="10"/>
      <c r="I3" s="10"/>
      <c r="J3" s="10"/>
      <c r="K3" s="37"/>
      <c r="L3" s="37"/>
      <c r="M3" s="36" t="s">
        <v>44</v>
      </c>
      <c r="N3" s="307" t="s">
        <v>96</v>
      </c>
      <c r="O3" s="308"/>
      <c r="Z3" s="38" t="s">
        <v>112</v>
      </c>
      <c r="AA3" s="38" t="s">
        <v>113</v>
      </c>
    </row>
    <row r="4" spans="1:27" ht="15" customHeight="1" x14ac:dyDescent="0.3">
      <c r="A4" s="40" t="s">
        <v>12</v>
      </c>
      <c r="B4" s="41"/>
      <c r="C4" s="41"/>
      <c r="D4" s="9"/>
      <c r="E4" s="9"/>
      <c r="F4" s="9"/>
      <c r="G4" s="9"/>
      <c r="H4" s="9"/>
      <c r="I4" s="9"/>
      <c r="J4" s="9"/>
      <c r="K4" s="35"/>
      <c r="L4" s="35"/>
      <c r="M4" s="36" t="s">
        <v>47</v>
      </c>
      <c r="N4" s="79" t="s">
        <v>98</v>
      </c>
      <c r="O4" s="77" t="s">
        <v>140</v>
      </c>
    </row>
    <row r="5" spans="1:27" ht="16.5" x14ac:dyDescent="0.3">
      <c r="A5" s="40" t="s">
        <v>10</v>
      </c>
      <c r="B5" s="41"/>
      <c r="C5" s="41"/>
      <c r="D5" s="9"/>
      <c r="E5" s="9"/>
      <c r="F5" s="9"/>
      <c r="G5" s="9"/>
      <c r="H5" s="9"/>
      <c r="I5" s="9"/>
      <c r="J5" s="9"/>
      <c r="K5" s="309"/>
      <c r="L5" s="309"/>
      <c r="M5" s="309"/>
      <c r="N5" s="310"/>
      <c r="O5" s="311"/>
      <c r="R5" t="s">
        <v>105</v>
      </c>
    </row>
    <row r="6" spans="1:27" ht="16.5" x14ac:dyDescent="0.3">
      <c r="A6" s="40" t="s">
        <v>9</v>
      </c>
      <c r="B6" s="41"/>
      <c r="C6" s="41"/>
      <c r="D6" s="9"/>
      <c r="E6" s="9"/>
      <c r="F6" s="9"/>
      <c r="G6" s="9"/>
      <c r="H6" s="9"/>
      <c r="I6" s="9"/>
      <c r="J6" s="9"/>
      <c r="K6" s="9"/>
      <c r="L6" s="9"/>
      <c r="M6" s="9"/>
      <c r="N6" s="9"/>
      <c r="O6" s="11"/>
      <c r="R6" t="s">
        <v>106</v>
      </c>
    </row>
    <row r="7" spans="1:27" x14ac:dyDescent="0.3">
      <c r="A7" s="12"/>
      <c r="B7" s="1"/>
      <c r="C7" s="1"/>
      <c r="D7" s="9"/>
      <c r="E7" s="9"/>
      <c r="F7" s="9"/>
      <c r="G7" s="9"/>
      <c r="H7" s="9"/>
      <c r="I7" s="9"/>
      <c r="J7" s="9"/>
      <c r="K7" s="9"/>
      <c r="L7" s="9"/>
      <c r="M7" s="9"/>
      <c r="N7" s="9"/>
      <c r="O7" s="11"/>
      <c r="R7" t="s">
        <v>89</v>
      </c>
    </row>
    <row r="8" spans="1:27" x14ac:dyDescent="0.3">
      <c r="A8" s="12"/>
      <c r="B8" s="1"/>
      <c r="C8" s="1"/>
      <c r="D8" s="1"/>
      <c r="E8" s="1"/>
      <c r="F8" s="1"/>
      <c r="G8" s="1"/>
      <c r="H8" s="1"/>
      <c r="I8" s="1"/>
      <c r="J8" s="1"/>
      <c r="K8" s="1"/>
      <c r="L8" s="1"/>
      <c r="M8" s="1"/>
      <c r="N8" s="1"/>
      <c r="O8" s="11"/>
    </row>
    <row r="9" spans="1:27" ht="16.5" x14ac:dyDescent="0.3">
      <c r="A9" s="13" t="s">
        <v>1</v>
      </c>
      <c r="B9" s="3"/>
      <c r="C9" s="3"/>
      <c r="D9" s="3"/>
      <c r="E9" s="3"/>
      <c r="F9" s="3"/>
      <c r="G9" s="3"/>
      <c r="H9" s="3"/>
      <c r="I9" s="3"/>
      <c r="J9" s="3"/>
      <c r="K9" s="3"/>
      <c r="L9" s="3"/>
      <c r="M9" s="3"/>
      <c r="N9" s="3" t="s">
        <v>31</v>
      </c>
      <c r="O9" s="34"/>
    </row>
    <row r="10" spans="1:27" ht="16.5" x14ac:dyDescent="0.3">
      <c r="A10" s="297" t="s">
        <v>88</v>
      </c>
      <c r="B10" s="298"/>
      <c r="C10" s="298"/>
      <c r="D10" s="298"/>
      <c r="E10" s="9"/>
      <c r="F10" s="9"/>
      <c r="G10" s="9"/>
      <c r="H10" s="9"/>
      <c r="I10" s="9"/>
      <c r="J10" s="9"/>
      <c r="K10" s="9"/>
      <c r="L10" s="9"/>
      <c r="M10" s="299" t="s">
        <v>32</v>
      </c>
      <c r="N10" s="299"/>
      <c r="O10" s="59" t="s">
        <v>34</v>
      </c>
    </row>
    <row r="11" spans="1:27" ht="16.5" customHeight="1" x14ac:dyDescent="0.3">
      <c r="A11" s="297" t="s">
        <v>90</v>
      </c>
      <c r="B11" s="298"/>
      <c r="C11" s="298" t="e">
        <f>VLOOKUP(A10,#REF!,2,FALSE)</f>
        <v>#REF!</v>
      </c>
      <c r="D11" s="298"/>
      <c r="E11" s="9"/>
      <c r="F11" s="9"/>
      <c r="G11" s="9"/>
      <c r="H11" s="9"/>
      <c r="I11" s="9"/>
      <c r="J11" s="9"/>
      <c r="K11" s="9"/>
      <c r="L11" s="9"/>
      <c r="M11" s="299" t="s">
        <v>42</v>
      </c>
      <c r="N11" s="299"/>
      <c r="O11" s="59" t="s">
        <v>43</v>
      </c>
    </row>
    <row r="12" spans="1:27" ht="16.5" customHeight="1" x14ac:dyDescent="0.3">
      <c r="A12" s="40" t="e">
        <f>VLOOKUP(A10,#REF!,3,FALSE)</f>
        <v>#REF!</v>
      </c>
      <c r="B12" s="41"/>
      <c r="C12" s="41"/>
      <c r="D12" s="9"/>
      <c r="E12" s="9"/>
      <c r="F12" s="9"/>
      <c r="G12" s="9"/>
      <c r="H12" s="9"/>
      <c r="I12" s="9"/>
      <c r="J12" s="9"/>
      <c r="K12" s="9"/>
      <c r="L12" s="9"/>
      <c r="M12" s="299" t="s">
        <v>41</v>
      </c>
      <c r="N12" s="299"/>
      <c r="O12" s="61">
        <f xml:space="preserve"> M35</f>
        <v>25440</v>
      </c>
      <c r="Y12" t="s">
        <v>80</v>
      </c>
      <c r="AA12" t="s">
        <v>36</v>
      </c>
    </row>
    <row r="13" spans="1:27" ht="16.5" customHeight="1" x14ac:dyDescent="0.3">
      <c r="A13" s="40" t="s">
        <v>70</v>
      </c>
      <c r="B13" s="41" t="e">
        <f>VLOOKUP(A10,#REF!,4,FALSE)</f>
        <v>#REF!</v>
      </c>
      <c r="C13" s="41"/>
      <c r="D13" s="9"/>
      <c r="E13" s="9"/>
      <c r="F13" s="9"/>
      <c r="G13" s="9"/>
      <c r="H13" s="9"/>
      <c r="I13" s="9"/>
      <c r="J13" s="9"/>
      <c r="K13" s="9"/>
      <c r="L13" s="9"/>
      <c r="M13" s="299" t="s">
        <v>35</v>
      </c>
      <c r="N13" s="299"/>
      <c r="O13" s="60" t="str">
        <f>IF(I35=1,"Cartons",IF(I35=2,"Drums","Cartons &amp; Drums"))</f>
        <v>Cartons</v>
      </c>
      <c r="Q13" s="215" t="s">
        <v>77</v>
      </c>
      <c r="R13" s="215"/>
      <c r="S13" s="105"/>
      <c r="T13" s="64" t="s">
        <v>78</v>
      </c>
      <c r="U13" s="65" t="s">
        <v>76</v>
      </c>
      <c r="V13" t="s">
        <v>95</v>
      </c>
      <c r="X13" s="51" t="s">
        <v>75</v>
      </c>
      <c r="Y13" s="50">
        <v>19800</v>
      </c>
      <c r="AA13" t="s">
        <v>67</v>
      </c>
    </row>
    <row r="14" spans="1:27" ht="16.5" customHeight="1" x14ac:dyDescent="0.3">
      <c r="A14" s="42" t="s">
        <v>71</v>
      </c>
      <c r="B14" s="43" t="e">
        <f>VLOOKUP(A10,#REF!,5,FALSE)</f>
        <v>#REF!</v>
      </c>
      <c r="C14" s="41"/>
      <c r="D14" s="9"/>
      <c r="E14" s="9"/>
      <c r="F14" s="9"/>
      <c r="G14" s="9"/>
      <c r="H14" s="9"/>
      <c r="I14" s="9"/>
      <c r="J14" s="9"/>
      <c r="K14" s="9"/>
      <c r="L14" s="9"/>
      <c r="M14" s="299" t="s">
        <v>33</v>
      </c>
      <c r="N14" s="299"/>
      <c r="O14" s="60">
        <f>SUM(L17:L34)</f>
        <v>960</v>
      </c>
      <c r="Q14" s="215"/>
      <c r="R14" s="215"/>
      <c r="S14" s="105"/>
      <c r="T14" s="105">
        <v>1</v>
      </c>
      <c r="U14" s="66"/>
      <c r="V14">
        <v>1</v>
      </c>
      <c r="X14" s="51" t="s">
        <v>76</v>
      </c>
      <c r="Y14" s="50">
        <v>15000</v>
      </c>
      <c r="AA14" t="s">
        <v>91</v>
      </c>
    </row>
    <row r="15" spans="1:27" ht="12" customHeight="1" thickBot="1" x14ac:dyDescent="0.35">
      <c r="A15" s="12"/>
      <c r="B15" s="1"/>
      <c r="C15" s="43"/>
      <c r="D15" s="1"/>
      <c r="E15" s="1"/>
      <c r="F15" s="1"/>
      <c r="G15" s="1"/>
      <c r="H15" s="1"/>
      <c r="I15" s="1"/>
      <c r="J15" s="1"/>
      <c r="K15" s="1"/>
      <c r="L15" s="1"/>
      <c r="M15" s="299"/>
      <c r="N15" s="299"/>
      <c r="O15" s="59"/>
      <c r="AA15" t="s">
        <v>89</v>
      </c>
    </row>
    <row r="16" spans="1:27" ht="48.75" customHeight="1" thickBot="1" x14ac:dyDescent="0.35">
      <c r="A16" s="94" t="s">
        <v>17</v>
      </c>
      <c r="B16" s="300" t="s">
        <v>0</v>
      </c>
      <c r="C16" s="300"/>
      <c r="D16" s="300"/>
      <c r="E16" s="300" t="s">
        <v>39</v>
      </c>
      <c r="F16" s="300"/>
      <c r="G16" s="95" t="s">
        <v>18</v>
      </c>
      <c r="H16" s="95" t="s">
        <v>104</v>
      </c>
      <c r="I16" s="95"/>
      <c r="J16" s="113" t="s">
        <v>19</v>
      </c>
      <c r="K16" s="113" t="s">
        <v>20</v>
      </c>
      <c r="L16" s="95" t="s">
        <v>126</v>
      </c>
      <c r="M16" s="95" t="s">
        <v>23</v>
      </c>
      <c r="N16" s="95" t="s">
        <v>49</v>
      </c>
      <c r="O16" s="96" t="s">
        <v>50</v>
      </c>
      <c r="Q16" s="32" t="s">
        <v>72</v>
      </c>
      <c r="R16" s="32" t="s">
        <v>81</v>
      </c>
      <c r="S16" s="32" t="s">
        <v>94</v>
      </c>
      <c r="T16" s="32" t="s">
        <v>93</v>
      </c>
      <c r="U16" s="32" t="s">
        <v>73</v>
      </c>
    </row>
    <row r="17" spans="1:30" s="50" customFormat="1" ht="30" customHeight="1" thickBot="1" x14ac:dyDescent="0.35">
      <c r="A17" s="91">
        <v>2992</v>
      </c>
      <c r="B17" s="301" t="e">
        <f>IF(A17:A28="","",IF(N$4="sys/",VLOOKUP(A17:A28,#REF!,4,FALSE),VLOOKUP(A17:A28,#REF!,4,FALSE)))</f>
        <v>#REF!</v>
      </c>
      <c r="C17" s="302"/>
      <c r="D17" s="303"/>
      <c r="E17" s="304" t="e">
        <f>IF(A17:A28="","",IF(N$4="sys/",VLOOKUP(A17:A28,#REF!,7,FALSE),VLOOKUP(A17:A28,#REF!,7,FALSE)))</f>
        <v>#REF!</v>
      </c>
      <c r="F17" s="305"/>
      <c r="G17" s="92" t="e">
        <f>IF(A17:A28="","",IF(P$4="sys/",VLOOKUP(A17:A28,#REF!,9,FALSE),VLOOKUP(A17:A28,#REF!,9,FALSE)))</f>
        <v>#REF!</v>
      </c>
      <c r="H17" s="106" t="s">
        <v>105</v>
      </c>
      <c r="I17" s="92">
        <f>IF(H17="","",IF(H17="carton",1,2))</f>
        <v>1</v>
      </c>
      <c r="J17" s="62" t="e">
        <f>IF(A17:A28="","",IF(N$4="sys/",VLOOKUP(A17:A28,#REF!,8,FALSE),VLOOKUP(A17:A28,#REF!,8,FALSE)))</f>
        <v>#REF!</v>
      </c>
      <c r="K17" s="53">
        <v>24000</v>
      </c>
      <c r="L17" s="101">
        <f t="shared" ref="L17:L34" si="0">IF(A17=142,K17/10,IF(A17=8064,K17/20,K17/25))</f>
        <v>960</v>
      </c>
      <c r="M17" s="62">
        <f t="shared" ref="M17:M34" si="1">IF(A17="","",IF(H17="carton",(IF(A17=8064,(K17*21.5/20),(K17*26.5/25))),IF(H17="drum",IF(A17=142,(K17*13/10),K17*28/25))))</f>
        <v>25440</v>
      </c>
      <c r="N17" s="108" t="str">
        <f t="shared" ref="N17:N34" si="2">IF(Q17="","",FIXED(Q17-(O$37/K$35),2,1))</f>
        <v>34.68</v>
      </c>
      <c r="O17" s="93">
        <f t="shared" ref="O17:O34" si="3">IF(K17="","",K17*N17)</f>
        <v>832320</v>
      </c>
      <c r="P17" s="49"/>
      <c r="Q17" s="112">
        <v>35.5</v>
      </c>
      <c r="R17" s="48">
        <v>89.8</v>
      </c>
      <c r="S17" s="73">
        <v>0.03</v>
      </c>
      <c r="T17" s="63">
        <f>(Q17-R17)/R17+S17</f>
        <v>-0.57467706013363029</v>
      </c>
      <c r="U17" s="50">
        <f>Q17*K17*T17</f>
        <v>-489624.85523385298</v>
      </c>
      <c r="V17" s="50">
        <f>Q17*K17</f>
        <v>852000</v>
      </c>
      <c r="Z17" s="109">
        <v>2141</v>
      </c>
      <c r="AA17" s="110" t="s">
        <v>54</v>
      </c>
      <c r="AB17" s="111">
        <v>3500</v>
      </c>
      <c r="AC17" s="112">
        <v>99.76</v>
      </c>
      <c r="AD17" s="110" t="s">
        <v>127</v>
      </c>
    </row>
    <row r="18" spans="1:30" s="50" customFormat="1" ht="30" customHeight="1" thickBot="1" x14ac:dyDescent="0.35">
      <c r="A18" s="68"/>
      <c r="B18" s="290" t="str">
        <f>IF(A18:A35="","",IF(N$4="sys/",VLOOKUP(A18:A35,#REF!,4,FALSE),VLOOKUP(A18:A35,#REF!,4,FALSE)))</f>
        <v/>
      </c>
      <c r="C18" s="291"/>
      <c r="D18" s="292"/>
      <c r="E18" s="293" t="str">
        <f>IF(A18:A35="","",IF(N$4="sys/",VLOOKUP(A18:A35,#REF!,7,FALSE),VLOOKUP(A18:A35,#REF!,7,FALSE)))</f>
        <v/>
      </c>
      <c r="F18" s="294"/>
      <c r="G18" s="90" t="str">
        <f>IF(A18:A35="","",IF(P$4="sys/",VLOOKUP(A18:A35,#REF!,9,FALSE),VLOOKUP(A18:A35,#REF!,9,FALSE)))</f>
        <v/>
      </c>
      <c r="H18" s="107"/>
      <c r="I18" s="90" t="str">
        <f t="shared" ref="I18:I34" si="4">IF(H18="","",IF(H18="carton",1,2))</f>
        <v/>
      </c>
      <c r="J18" s="53" t="str">
        <f>IF(A18:A35="","",IF(N$4="sys/",VLOOKUP(A18:A35,#REF!,8,FALSE),VLOOKUP(A18:A35,#REF!,8,FALSE)))</f>
        <v/>
      </c>
      <c r="K18" s="53"/>
      <c r="L18" s="101">
        <f t="shared" si="0"/>
        <v>0</v>
      </c>
      <c r="M18" s="53" t="str">
        <f t="shared" si="1"/>
        <v/>
      </c>
      <c r="N18" s="53" t="str">
        <f t="shared" si="2"/>
        <v/>
      </c>
      <c r="O18" s="74" t="str">
        <f t="shared" si="3"/>
        <v/>
      </c>
      <c r="P18" s="49"/>
      <c r="Q18" s="112"/>
      <c r="R18" s="48">
        <v>47.7</v>
      </c>
      <c r="S18" s="73">
        <v>0.03</v>
      </c>
      <c r="T18" s="63">
        <f t="shared" ref="T18:T23" si="5">(Q18-R18)/R18+S18</f>
        <v>-0.97</v>
      </c>
      <c r="U18" s="50">
        <f t="shared" ref="U18:U23" si="6">Q18*K18*T18</f>
        <v>0</v>
      </c>
      <c r="V18" s="50">
        <f t="shared" ref="V18:V24" si="7">Q18*K18</f>
        <v>0</v>
      </c>
      <c r="Z18" s="109">
        <v>2551</v>
      </c>
      <c r="AA18" s="110" t="s">
        <v>57</v>
      </c>
      <c r="AB18" s="111">
        <v>3500</v>
      </c>
      <c r="AC18" s="112">
        <v>112.2</v>
      </c>
      <c r="AD18" s="110" t="s">
        <v>128</v>
      </c>
    </row>
    <row r="19" spans="1:30" s="50" customFormat="1" ht="30" customHeight="1" thickBot="1" x14ac:dyDescent="0.35">
      <c r="A19" s="68"/>
      <c r="B19" s="290" t="str">
        <f>IF(A19:A36="","",IF(N$4="sys/",VLOOKUP(A19:A36,#REF!,4,FALSE),VLOOKUP(A19:A36,#REF!,4,FALSE)))</f>
        <v/>
      </c>
      <c r="C19" s="291"/>
      <c r="D19" s="292"/>
      <c r="E19" s="293" t="str">
        <f>IF(A19:A36="","",IF(N$4="sys/",VLOOKUP(A19:A36,#REF!,7,FALSE),VLOOKUP(A19:A36,#REF!,7,FALSE)))</f>
        <v/>
      </c>
      <c r="F19" s="294"/>
      <c r="G19" s="90" t="str">
        <f>IF(A19:A36="","",IF(P$4="sys/",VLOOKUP(A19:A36,#REF!,9,FALSE),VLOOKUP(A19:A36,#REF!,9,FALSE)))</f>
        <v/>
      </c>
      <c r="H19" s="107"/>
      <c r="I19" s="90" t="str">
        <f t="shared" si="4"/>
        <v/>
      </c>
      <c r="J19" s="53" t="str">
        <f>IF(A19:A36="","",IF(N$4="sys/",VLOOKUP(A19:A36,#REF!,8,FALSE),VLOOKUP(A19:A36,#REF!,8,FALSE)))</f>
        <v/>
      </c>
      <c r="K19" s="53"/>
      <c r="L19" s="101">
        <f t="shared" si="0"/>
        <v>0</v>
      </c>
      <c r="M19" s="53" t="str">
        <f t="shared" si="1"/>
        <v/>
      </c>
      <c r="N19" s="53" t="str">
        <f t="shared" si="2"/>
        <v/>
      </c>
      <c r="O19" s="74" t="str">
        <f t="shared" si="3"/>
        <v/>
      </c>
      <c r="P19" s="49"/>
      <c r="Q19" s="112"/>
      <c r="R19" s="48">
        <v>46.08</v>
      </c>
      <c r="S19" s="73">
        <v>0.03</v>
      </c>
      <c r="T19" s="63">
        <f t="shared" si="5"/>
        <v>-0.97</v>
      </c>
      <c r="U19" s="50">
        <f t="shared" si="6"/>
        <v>0</v>
      </c>
      <c r="V19" s="50">
        <f t="shared" si="7"/>
        <v>0</v>
      </c>
      <c r="X19" s="51"/>
      <c r="Z19" s="109">
        <v>2351</v>
      </c>
      <c r="AA19" s="110" t="s">
        <v>56</v>
      </c>
      <c r="AB19" s="111">
        <v>1500</v>
      </c>
      <c r="AC19" s="112">
        <v>91.6</v>
      </c>
      <c r="AD19" s="110" t="s">
        <v>129</v>
      </c>
    </row>
    <row r="20" spans="1:30" s="50" customFormat="1" ht="30" customHeight="1" thickBot="1" x14ac:dyDescent="0.35">
      <c r="A20" s="68"/>
      <c r="B20" s="290" t="str">
        <f>IF(A20:A37="","",IF(N$4="sys/",VLOOKUP(A20:A37,#REF!,4,FALSE),VLOOKUP(A20:A37,#REF!,4,FALSE)))</f>
        <v/>
      </c>
      <c r="C20" s="291"/>
      <c r="D20" s="292"/>
      <c r="E20" s="293" t="str">
        <f>IF(A20:A37="","",IF(N$4="sys/",VLOOKUP(A20:A37,#REF!,7,FALSE),VLOOKUP(A20:A37,#REF!,7,FALSE)))</f>
        <v/>
      </c>
      <c r="F20" s="294"/>
      <c r="G20" s="90" t="str">
        <f>IF(A20:A37="","",IF(P$4="sys/",VLOOKUP(A20:A37,#REF!,9,FALSE),VLOOKUP(A20:A37,#REF!,9,FALSE)))</f>
        <v/>
      </c>
      <c r="H20" s="107"/>
      <c r="I20" s="90" t="str">
        <f t="shared" si="4"/>
        <v/>
      </c>
      <c r="J20" s="53" t="str">
        <f>IF(A20:A37="","",IF(N$4="sys/",VLOOKUP(A20:A37,#REF!,8,FALSE),VLOOKUP(A20:A37,#REF!,8,FALSE)))</f>
        <v/>
      </c>
      <c r="K20" s="53"/>
      <c r="L20" s="101">
        <f t="shared" si="0"/>
        <v>0</v>
      </c>
      <c r="M20" s="53" t="str">
        <f t="shared" si="1"/>
        <v/>
      </c>
      <c r="N20" s="53" t="str">
        <f t="shared" si="2"/>
        <v/>
      </c>
      <c r="O20" s="74" t="str">
        <f t="shared" si="3"/>
        <v/>
      </c>
      <c r="P20" s="49"/>
      <c r="Q20" s="112"/>
      <c r="R20" s="48">
        <v>34</v>
      </c>
      <c r="S20" s="73">
        <v>0.03</v>
      </c>
      <c r="T20" s="63">
        <f t="shared" si="5"/>
        <v>-0.97</v>
      </c>
      <c r="U20" s="50">
        <f t="shared" si="6"/>
        <v>0</v>
      </c>
      <c r="V20" s="50">
        <f t="shared" si="7"/>
        <v>0</v>
      </c>
      <c r="Z20" s="109">
        <v>2993</v>
      </c>
      <c r="AA20" s="110" t="s">
        <v>63</v>
      </c>
      <c r="AB20" s="111">
        <v>2000</v>
      </c>
      <c r="AC20" s="112">
        <v>43.86</v>
      </c>
      <c r="AD20" s="110" t="s">
        <v>130</v>
      </c>
    </row>
    <row r="21" spans="1:30" s="50" customFormat="1" ht="30" customHeight="1" thickBot="1" x14ac:dyDescent="0.35">
      <c r="A21" s="68"/>
      <c r="B21" s="290" t="str">
        <f>IF(A21:A38="","",IF(N$4="sys/",VLOOKUP(A21:A38,#REF!,4,FALSE),VLOOKUP(A21:A38,#REF!,4,FALSE)))</f>
        <v/>
      </c>
      <c r="C21" s="291"/>
      <c r="D21" s="292"/>
      <c r="E21" s="293" t="str">
        <f>IF(A21:A38="","",IF(N$4="sys/",VLOOKUP(A21:A38,#REF!,7,FALSE),VLOOKUP(A21:A38,#REF!,7,FALSE)))</f>
        <v/>
      </c>
      <c r="F21" s="294"/>
      <c r="G21" s="90" t="str">
        <f>IF(A21:A38="","",IF(P$4="sys/",VLOOKUP(A21:A38,#REF!,9,FALSE),VLOOKUP(A21:A38,#REF!,9,FALSE)))</f>
        <v/>
      </c>
      <c r="H21" s="107"/>
      <c r="I21" s="90" t="str">
        <f t="shared" si="4"/>
        <v/>
      </c>
      <c r="J21" s="53" t="str">
        <f>IF(A21:A38="","",IF(N$4="sys/",VLOOKUP(A21:A38,#REF!,8,FALSE),VLOOKUP(A21:A38,#REF!,8,FALSE)))</f>
        <v/>
      </c>
      <c r="K21" s="53"/>
      <c r="L21" s="101">
        <f t="shared" si="0"/>
        <v>0</v>
      </c>
      <c r="M21" s="53" t="str">
        <f t="shared" si="1"/>
        <v/>
      </c>
      <c r="N21" s="53" t="str">
        <f t="shared" si="2"/>
        <v/>
      </c>
      <c r="O21" s="74" t="str">
        <f t="shared" si="3"/>
        <v/>
      </c>
      <c r="P21" s="49"/>
      <c r="Q21" s="112"/>
      <c r="R21" s="48">
        <v>157</v>
      </c>
      <c r="S21" s="73">
        <v>0.03</v>
      </c>
      <c r="T21" s="63">
        <f t="shared" si="5"/>
        <v>-0.97</v>
      </c>
      <c r="U21" s="50">
        <f t="shared" si="6"/>
        <v>0</v>
      </c>
      <c r="V21" s="50">
        <f t="shared" si="7"/>
        <v>0</v>
      </c>
      <c r="X21" s="51"/>
      <c r="Z21" s="109">
        <v>15016</v>
      </c>
      <c r="AA21" s="110" t="s">
        <v>52</v>
      </c>
      <c r="AB21" s="111">
        <v>3500</v>
      </c>
      <c r="AC21" s="112">
        <v>48.65</v>
      </c>
      <c r="AD21" s="110" t="s">
        <v>131</v>
      </c>
    </row>
    <row r="22" spans="1:30" s="50" customFormat="1" ht="30" customHeight="1" thickBot="1" x14ac:dyDescent="0.35">
      <c r="A22" s="68"/>
      <c r="B22" s="290" t="str">
        <f>IF(A22:A39="","",IF(N$4="sys/",VLOOKUP(A22:A39,#REF!,4,FALSE),VLOOKUP(A22:A39,#REF!,4,FALSE)))</f>
        <v/>
      </c>
      <c r="C22" s="291"/>
      <c r="D22" s="292"/>
      <c r="E22" s="293" t="str">
        <f>IF(A22:A39="","",IF(N$4="sys/",VLOOKUP(A22:A39,#REF!,7,FALSE),VLOOKUP(A22:A39,#REF!,7,FALSE)))</f>
        <v/>
      </c>
      <c r="F22" s="294"/>
      <c r="G22" s="90" t="str">
        <f>IF(A22:A39="","",IF(P$4="sys/",VLOOKUP(A22:A39,#REF!,9,FALSE),VLOOKUP(A22:A39,#REF!,9,FALSE)))</f>
        <v/>
      </c>
      <c r="H22" s="107"/>
      <c r="I22" s="90" t="str">
        <f t="shared" si="4"/>
        <v/>
      </c>
      <c r="J22" s="53" t="str">
        <f>IF(A22:A39="","",IF(N$4="sys/",VLOOKUP(A22:A39,#REF!,8,FALSE),VLOOKUP(A22:A39,#REF!,8,FALSE)))</f>
        <v/>
      </c>
      <c r="K22" s="53"/>
      <c r="L22" s="101">
        <f t="shared" si="0"/>
        <v>0</v>
      </c>
      <c r="M22" s="53" t="str">
        <f t="shared" si="1"/>
        <v/>
      </c>
      <c r="N22" s="53" t="str">
        <f t="shared" si="2"/>
        <v/>
      </c>
      <c r="O22" s="74" t="str">
        <f t="shared" si="3"/>
        <v/>
      </c>
      <c r="P22" s="49"/>
      <c r="Q22" s="112"/>
      <c r="R22" s="48">
        <v>54</v>
      </c>
      <c r="S22" s="73">
        <v>0.03</v>
      </c>
      <c r="T22" s="63">
        <f t="shared" si="5"/>
        <v>-0.97</v>
      </c>
      <c r="U22" s="50">
        <f t="shared" si="6"/>
        <v>0</v>
      </c>
      <c r="V22" s="50">
        <f t="shared" si="7"/>
        <v>0</v>
      </c>
      <c r="X22" s="51">
        <f>O44*5.5%</f>
        <v>46866.6</v>
      </c>
      <c r="Z22" s="109">
        <v>2572</v>
      </c>
      <c r="AA22" s="110" t="s">
        <v>61</v>
      </c>
      <c r="AB22" s="111">
        <v>2000</v>
      </c>
      <c r="AC22" s="112">
        <v>47</v>
      </c>
      <c r="AD22" s="110" t="s">
        <v>132</v>
      </c>
    </row>
    <row r="23" spans="1:30" s="50" customFormat="1" ht="30" customHeight="1" thickBot="1" x14ac:dyDescent="0.35">
      <c r="A23" s="68"/>
      <c r="B23" s="290" t="str">
        <f>IF(A23:A40="","",IF(N$4="sys/",VLOOKUP(A23:A40,#REF!,4,FALSE),VLOOKUP(A23:A40,#REF!,4,FALSE)))</f>
        <v/>
      </c>
      <c r="C23" s="291"/>
      <c r="D23" s="292"/>
      <c r="E23" s="293" t="str">
        <f>IF(A23:A40="","",IF(N$4="sys/",VLOOKUP(A23:A40,#REF!,7,FALSE),VLOOKUP(A23:A40,#REF!,7,FALSE)))</f>
        <v/>
      </c>
      <c r="F23" s="294"/>
      <c r="G23" s="90" t="str">
        <f>IF(A23:A40="","",IF(P$4="sys/",VLOOKUP(A23:A40,#REF!,9,FALSE),VLOOKUP(A23:A40,#REF!,9,FALSE)))</f>
        <v/>
      </c>
      <c r="H23" s="107"/>
      <c r="I23" s="90" t="str">
        <f t="shared" si="4"/>
        <v/>
      </c>
      <c r="J23" s="53" t="str">
        <f>IF(A23:A40="","",IF(N$4="sys/",VLOOKUP(A23:A40,#REF!,8,FALSE),VLOOKUP(A23:A40,#REF!,8,FALSE)))</f>
        <v/>
      </c>
      <c r="K23" s="53"/>
      <c r="L23" s="101">
        <f t="shared" si="0"/>
        <v>0</v>
      </c>
      <c r="M23" s="53" t="str">
        <f t="shared" si="1"/>
        <v/>
      </c>
      <c r="N23" s="53" t="str">
        <f t="shared" si="2"/>
        <v/>
      </c>
      <c r="O23" s="74" t="str">
        <f t="shared" si="3"/>
        <v/>
      </c>
      <c r="P23" s="49"/>
      <c r="Q23" s="112"/>
      <c r="R23" s="50">
        <v>51.5</v>
      </c>
      <c r="S23" s="73">
        <v>0.03</v>
      </c>
      <c r="T23" s="63">
        <f t="shared" si="5"/>
        <v>-0.97</v>
      </c>
      <c r="U23" s="50">
        <f t="shared" si="6"/>
        <v>0</v>
      </c>
      <c r="V23" s="50">
        <f t="shared" si="7"/>
        <v>0</v>
      </c>
      <c r="X23" s="51" t="e">
        <f>U35-X22</f>
        <v>#DIV/0!</v>
      </c>
      <c r="Z23" s="109">
        <v>2811</v>
      </c>
      <c r="AA23" s="110" t="s">
        <v>55</v>
      </c>
      <c r="AB23" s="111">
        <v>4500</v>
      </c>
      <c r="AC23" s="112">
        <v>34.68</v>
      </c>
      <c r="AD23" s="110" t="s">
        <v>133</v>
      </c>
    </row>
    <row r="24" spans="1:30" s="50" customFormat="1" ht="30" customHeight="1" thickBot="1" x14ac:dyDescent="0.35">
      <c r="A24" s="68"/>
      <c r="B24" s="290" t="str">
        <f>IF(A24:A41="","",IF(N$4="sys/",VLOOKUP(A24:A41,#REF!,4,FALSE),VLOOKUP(A24:A41,#REF!,4,FALSE)))</f>
        <v/>
      </c>
      <c r="C24" s="291"/>
      <c r="D24" s="292"/>
      <c r="E24" s="293" t="str">
        <f>IF(A24:A41="","",IF(N$4="sys/",VLOOKUP(A24:A41,#REF!,7,FALSE),VLOOKUP(A24:A41,#REF!,7,FALSE)))</f>
        <v/>
      </c>
      <c r="F24" s="294"/>
      <c r="G24" s="90" t="str">
        <f>IF(A24:A41="","",IF(P$4="sys/",VLOOKUP(A24:A41,#REF!,9,FALSE),VLOOKUP(A24:A41,#REF!,9,FALSE)))</f>
        <v/>
      </c>
      <c r="H24" s="107"/>
      <c r="I24" s="90" t="str">
        <f t="shared" si="4"/>
        <v/>
      </c>
      <c r="J24" s="53" t="str">
        <f>IF(A24:A41="","",IF(N$4="sys/",VLOOKUP(A24:A41,#REF!,8,FALSE),VLOOKUP(A24:A41,#REF!,8,FALSE)))</f>
        <v/>
      </c>
      <c r="K24" s="53"/>
      <c r="L24" s="101">
        <f t="shared" si="0"/>
        <v>0</v>
      </c>
      <c r="M24" s="53" t="str">
        <f t="shared" si="1"/>
        <v/>
      </c>
      <c r="N24" s="53" t="str">
        <f t="shared" si="2"/>
        <v/>
      </c>
      <c r="O24" s="74" t="str">
        <f t="shared" si="3"/>
        <v/>
      </c>
      <c r="P24" s="49"/>
      <c r="Q24" s="112"/>
      <c r="S24" s="73"/>
      <c r="T24" s="63"/>
      <c r="V24" s="50">
        <f t="shared" si="7"/>
        <v>0</v>
      </c>
      <c r="X24" s="51"/>
      <c r="Z24" s="109">
        <v>2652</v>
      </c>
      <c r="AA24" s="110" t="s">
        <v>60</v>
      </c>
      <c r="AB24" s="111">
        <v>3000</v>
      </c>
      <c r="AC24" s="112">
        <v>160.13999999999999</v>
      </c>
      <c r="AD24" s="110" t="s">
        <v>134</v>
      </c>
    </row>
    <row r="25" spans="1:30" s="50" customFormat="1" ht="30" customHeight="1" thickBot="1" x14ac:dyDescent="0.35">
      <c r="A25" s="68"/>
      <c r="B25" s="290" t="str">
        <f>IF(A25:A42="","",IF(N$4="sys/",VLOOKUP(A25:A42,#REF!,4,FALSE),VLOOKUP(A25:A42,#REF!,4,FALSE)))</f>
        <v/>
      </c>
      <c r="C25" s="291"/>
      <c r="D25" s="292"/>
      <c r="E25" s="293" t="str">
        <f>IF(A25:A42="","",IF(N$4="sys/",VLOOKUP(A25:A42,#REF!,7,FALSE),VLOOKUP(A25:A42,#REF!,7,FALSE)))</f>
        <v/>
      </c>
      <c r="F25" s="294"/>
      <c r="G25" s="90" t="str">
        <f>IF(A25:A42="","",IF(P$4="sys/",VLOOKUP(A25:A42,#REF!,9,FALSE),VLOOKUP(A25:A42,#REF!,9,FALSE)))</f>
        <v/>
      </c>
      <c r="H25" s="107"/>
      <c r="I25" s="90" t="str">
        <f t="shared" si="4"/>
        <v/>
      </c>
      <c r="J25" s="53" t="str">
        <f>IF(A25:A42="","",IF(N$4="sys/",VLOOKUP(A25:A42,#REF!,8,FALSE),VLOOKUP(A25:A42,#REF!,8,FALSE)))</f>
        <v/>
      </c>
      <c r="K25" s="53"/>
      <c r="L25" s="101">
        <f t="shared" si="0"/>
        <v>0</v>
      </c>
      <c r="M25" s="53" t="str">
        <f t="shared" si="1"/>
        <v/>
      </c>
      <c r="N25" s="53" t="str">
        <f t="shared" si="2"/>
        <v/>
      </c>
      <c r="O25" s="74" t="str">
        <f t="shared" si="3"/>
        <v/>
      </c>
      <c r="P25" s="49"/>
      <c r="Q25" s="112"/>
      <c r="S25" s="73"/>
      <c r="T25" s="63" t="e">
        <f>(Q24-R25)/R25+S25</f>
        <v>#DIV/0!</v>
      </c>
      <c r="U25" s="50" t="e">
        <f>Q24*K24*T25</f>
        <v>#DIV/0!</v>
      </c>
      <c r="V25" s="50">
        <f>Q24*K24</f>
        <v>0</v>
      </c>
      <c r="X25" s="51"/>
      <c r="Z25" s="109">
        <v>2472</v>
      </c>
      <c r="AA25" s="110" t="s">
        <v>59</v>
      </c>
      <c r="AB25" s="111">
        <v>1000</v>
      </c>
      <c r="AC25" s="112">
        <v>56.61</v>
      </c>
      <c r="AD25" s="110" t="s">
        <v>135</v>
      </c>
    </row>
    <row r="26" spans="1:30" s="50" customFormat="1" ht="30.75" customHeight="1" thickBot="1" x14ac:dyDescent="0.35">
      <c r="A26" s="68"/>
      <c r="B26" s="290" t="str">
        <f>IF(A26:A43="","",IF(N$4="sys/",VLOOKUP(A26:A43,#REF!,4,FALSE),VLOOKUP(A26:A43,#REF!,4,FALSE)))</f>
        <v/>
      </c>
      <c r="C26" s="291"/>
      <c r="D26" s="292"/>
      <c r="E26" s="293" t="str">
        <f>IF(A26:A43="","",IF(N$4="sys/",VLOOKUP(A26:A43,#REF!,7,FALSE),VLOOKUP(A26:A43,#REF!,7,FALSE)))</f>
        <v/>
      </c>
      <c r="F26" s="294"/>
      <c r="G26" s="90" t="str">
        <f>IF(A26:A43="","",IF(P$4="sys/",VLOOKUP(A26:A43,#REF!,9,FALSE),VLOOKUP(A26:A43,#REF!,9,FALSE)))</f>
        <v/>
      </c>
      <c r="H26" s="107"/>
      <c r="I26" s="90" t="str">
        <f t="shared" si="4"/>
        <v/>
      </c>
      <c r="J26" s="53" t="str">
        <f>IF(A26:A43="","",IF(N$4="sys/",VLOOKUP(A26:A43,#REF!,8,FALSE),VLOOKUP(A26:A43,#REF!,8,FALSE)))</f>
        <v/>
      </c>
      <c r="K26" s="53"/>
      <c r="L26" s="101">
        <f t="shared" si="0"/>
        <v>0</v>
      </c>
      <c r="M26" s="53" t="str">
        <f t="shared" si="1"/>
        <v/>
      </c>
      <c r="N26" s="53" t="str">
        <f t="shared" si="2"/>
        <v/>
      </c>
      <c r="O26" s="74" t="str">
        <f t="shared" si="3"/>
        <v/>
      </c>
      <c r="P26" s="49"/>
      <c r="Q26" s="112"/>
      <c r="S26" s="73"/>
      <c r="T26" s="63" t="e">
        <f>(Q25-R26)/R26+S26</f>
        <v>#DIV/0!</v>
      </c>
      <c r="U26" s="50" t="e">
        <f>Q25*K25*T26</f>
        <v>#DIV/0!</v>
      </c>
      <c r="X26" s="51"/>
      <c r="Z26" s="109">
        <v>2392</v>
      </c>
      <c r="AA26" s="110" t="s">
        <v>58</v>
      </c>
      <c r="AB26" s="111">
        <v>3500</v>
      </c>
      <c r="AC26" s="112">
        <v>55.08</v>
      </c>
      <c r="AD26" s="110" t="s">
        <v>136</v>
      </c>
    </row>
    <row r="27" spans="1:30" s="50" customFormat="1" ht="30" customHeight="1" thickBot="1" x14ac:dyDescent="0.35">
      <c r="A27" s="68"/>
      <c r="B27" s="290" t="str">
        <f>IF(A27:A44="","",IF(N$4="sys/",VLOOKUP(A27:A44,#REF!,4,FALSE),VLOOKUP(A27:A44,#REF!,4,FALSE)))</f>
        <v/>
      </c>
      <c r="C27" s="291"/>
      <c r="D27" s="292"/>
      <c r="E27" s="293" t="str">
        <f>IF(A27:A44="","",IF(N$4="sys/",VLOOKUP(A27:A44,#REF!,7,FALSE),VLOOKUP(A27:A44,#REF!,7,FALSE)))</f>
        <v/>
      </c>
      <c r="F27" s="294"/>
      <c r="G27" s="90" t="str">
        <f>IF(A27:A44="","",IF(P$4="sys/",VLOOKUP(A27:A44,#REF!,9,FALSE),VLOOKUP(A27:A44,#REF!,9,FALSE)))</f>
        <v/>
      </c>
      <c r="H27" s="107"/>
      <c r="I27" s="90" t="str">
        <f t="shared" si="4"/>
        <v/>
      </c>
      <c r="J27" s="53" t="str">
        <f>IF(A27:A44="","",IF(N$4="sys/",VLOOKUP(A27:A44,#REF!,8,FALSE),VLOOKUP(A27:A44,#REF!,8,FALSE)))</f>
        <v/>
      </c>
      <c r="K27" s="53"/>
      <c r="L27" s="101">
        <f t="shared" si="0"/>
        <v>0</v>
      </c>
      <c r="M27" s="53" t="str">
        <f t="shared" si="1"/>
        <v/>
      </c>
      <c r="N27" s="53" t="str">
        <f t="shared" si="2"/>
        <v/>
      </c>
      <c r="O27" s="74" t="str">
        <f t="shared" si="3"/>
        <v/>
      </c>
      <c r="P27" s="49"/>
      <c r="S27" s="73"/>
      <c r="T27" s="63" t="e">
        <f>(Q26-R27)/R27+S27</f>
        <v>#DIV/0!</v>
      </c>
      <c r="U27" s="50" t="e">
        <f>Q26*K27*T27</f>
        <v>#DIV/0!</v>
      </c>
      <c r="X27" s="51"/>
      <c r="Z27" s="109">
        <v>2383</v>
      </c>
      <c r="AA27" s="110" t="s">
        <v>64</v>
      </c>
      <c r="AB27" s="111">
        <v>4000</v>
      </c>
      <c r="AC27" s="112">
        <v>52.53</v>
      </c>
      <c r="AD27" s="110" t="s">
        <v>137</v>
      </c>
    </row>
    <row r="28" spans="1:30" s="50" customFormat="1" ht="30" customHeight="1" thickBot="1" x14ac:dyDescent="0.35">
      <c r="A28" s="68"/>
      <c r="B28" s="290" t="str">
        <f>IF(A28:A45="","",IF(N$4="sys/",VLOOKUP(A28:A45,#REF!,4,FALSE),VLOOKUP(A28:A45,#REF!,4,FALSE)))</f>
        <v/>
      </c>
      <c r="C28" s="291"/>
      <c r="D28" s="292"/>
      <c r="E28" s="293" t="str">
        <f>IF(A28:A45="","",IF(N$4="sys/",VLOOKUP(A28:A45,#REF!,7,FALSE),VLOOKUP(A28:A45,#REF!,7,FALSE)))</f>
        <v/>
      </c>
      <c r="F28" s="294"/>
      <c r="G28" s="90" t="str">
        <f>IF(A28:A45="","",IF(P$4="sys/",VLOOKUP(A28:A45,#REF!,9,FALSE),VLOOKUP(A28:A45,#REF!,9,FALSE)))</f>
        <v/>
      </c>
      <c r="H28" s="107"/>
      <c r="I28" s="90" t="str">
        <f t="shared" si="4"/>
        <v/>
      </c>
      <c r="J28" s="53" t="str">
        <f>IF(A28:A45="","",IF(N$4="sys/",VLOOKUP(A28:A45,#REF!,8,FALSE),VLOOKUP(A28:A45,#REF!,8,FALSE)))</f>
        <v/>
      </c>
      <c r="K28" s="53"/>
      <c r="L28" s="101">
        <f t="shared" si="0"/>
        <v>0</v>
      </c>
      <c r="M28" s="53" t="str">
        <f t="shared" si="1"/>
        <v/>
      </c>
      <c r="N28" s="53" t="str">
        <f t="shared" si="2"/>
        <v/>
      </c>
      <c r="O28" s="74" t="str">
        <f t="shared" si="3"/>
        <v/>
      </c>
      <c r="P28" s="49"/>
      <c r="Q28" s="76"/>
      <c r="T28" s="63"/>
      <c r="X28" s="51"/>
    </row>
    <row r="29" spans="1:30" s="50" customFormat="1" ht="30" customHeight="1" thickBot="1" x14ac:dyDescent="0.35">
      <c r="A29" s="68"/>
      <c r="B29" s="290" t="str">
        <f>IF(A29:A46="","",IF(N$4="sys/",VLOOKUP(A29:A46,#REF!,4,FALSE),VLOOKUP(A29:A46,#REF!,4,FALSE)))</f>
        <v/>
      </c>
      <c r="C29" s="291"/>
      <c r="D29" s="292"/>
      <c r="E29" s="293" t="str">
        <f>IF(A29:A46="","",IF(N$4="sys/",VLOOKUP(A29:A46,#REF!,7,FALSE),VLOOKUP(A29:A46,#REF!,7,FALSE)))</f>
        <v/>
      </c>
      <c r="F29" s="294"/>
      <c r="G29" s="90" t="str">
        <f>IF(A29:A46="","",IF(P$4="sys/",VLOOKUP(A29:A46,#REF!,9,FALSE),VLOOKUP(A29:A46,#REF!,9,FALSE)))</f>
        <v/>
      </c>
      <c r="H29" s="107"/>
      <c r="I29" s="90" t="str">
        <f t="shared" si="4"/>
        <v/>
      </c>
      <c r="J29" s="53" t="str">
        <f>IF(A29:A46="","",IF(N$4="sys/",VLOOKUP(A29:A46,#REF!,8,FALSE),VLOOKUP(A29:A46,#REF!,8,FALSE)))</f>
        <v/>
      </c>
      <c r="K29" s="53"/>
      <c r="L29" s="101">
        <f t="shared" si="0"/>
        <v>0</v>
      </c>
      <c r="M29" s="53" t="str">
        <f t="shared" si="1"/>
        <v/>
      </c>
      <c r="N29" s="53" t="str">
        <f t="shared" si="2"/>
        <v/>
      </c>
      <c r="O29" s="74" t="str">
        <f t="shared" si="3"/>
        <v/>
      </c>
      <c r="P29" s="49"/>
      <c r="Q29" s="76"/>
      <c r="T29" s="63"/>
      <c r="X29" s="51"/>
    </row>
    <row r="30" spans="1:30" s="50" customFormat="1" ht="30" customHeight="1" thickBot="1" x14ac:dyDescent="0.35">
      <c r="A30" s="68"/>
      <c r="B30" s="290" t="str">
        <f>IF(A30:A47="","",IF(N$4="sys/",VLOOKUP(A30:A47,#REF!,4,FALSE),VLOOKUP(A30:A47,#REF!,4,FALSE)))</f>
        <v/>
      </c>
      <c r="C30" s="291"/>
      <c r="D30" s="292"/>
      <c r="E30" s="293" t="str">
        <f>IF(A30:A47="","",IF(N$4="sys/",VLOOKUP(A30:A47,#REF!,7,FALSE),VLOOKUP(A30:A47,#REF!,7,FALSE)))</f>
        <v/>
      </c>
      <c r="F30" s="294"/>
      <c r="G30" s="90" t="str">
        <f>IF(A30:A47="","",IF(P$4="sys/",VLOOKUP(A30:A47,#REF!,9,FALSE),VLOOKUP(A30:A47,#REF!,9,FALSE)))</f>
        <v/>
      </c>
      <c r="H30" s="107"/>
      <c r="I30" s="90" t="str">
        <f t="shared" si="4"/>
        <v/>
      </c>
      <c r="J30" s="53" t="str">
        <f>IF(A30:A47="","",IF(N$4="sys/",VLOOKUP(A30:A47,#REF!,8,FALSE),VLOOKUP(A30:A47,#REF!,8,FALSE)))</f>
        <v/>
      </c>
      <c r="K30" s="53"/>
      <c r="L30" s="101">
        <f t="shared" si="0"/>
        <v>0</v>
      </c>
      <c r="M30" s="53" t="str">
        <f t="shared" si="1"/>
        <v/>
      </c>
      <c r="N30" s="53" t="str">
        <f t="shared" si="2"/>
        <v/>
      </c>
      <c r="O30" s="74" t="str">
        <f t="shared" si="3"/>
        <v/>
      </c>
      <c r="P30" s="49"/>
      <c r="Q30" s="76"/>
      <c r="T30" s="63"/>
      <c r="X30" s="51"/>
    </row>
    <row r="31" spans="1:30" s="50" customFormat="1" ht="30" customHeight="1" thickBot="1" x14ac:dyDescent="0.35">
      <c r="A31" s="68"/>
      <c r="B31" s="290" t="str">
        <f>IF(A31:A48="","",IF(N$4="sys/",VLOOKUP(A31:A48,#REF!,4,FALSE),VLOOKUP(A31:A48,#REF!,4,FALSE)))</f>
        <v/>
      </c>
      <c r="C31" s="291"/>
      <c r="D31" s="292"/>
      <c r="E31" s="293" t="str">
        <f>IF(A31:A48="","",IF(N$4="sys/",VLOOKUP(A31:A48,#REF!,7,FALSE),VLOOKUP(A31:A48,#REF!,7,FALSE)))</f>
        <v/>
      </c>
      <c r="F31" s="294"/>
      <c r="G31" s="90" t="str">
        <f>IF(A31:A48="","",IF(P$4="sys/",VLOOKUP(A31:A48,#REF!,9,FALSE),VLOOKUP(A31:A48,#REF!,9,FALSE)))</f>
        <v/>
      </c>
      <c r="H31" s="107"/>
      <c r="I31" s="90" t="str">
        <f t="shared" si="4"/>
        <v/>
      </c>
      <c r="J31" s="53" t="str">
        <f>IF(A31:A48="","",IF(N$4="sys/",VLOOKUP(A31:A48,#REF!,8,FALSE),VLOOKUP(A31:A48,#REF!,8,FALSE)))</f>
        <v/>
      </c>
      <c r="K31" s="53"/>
      <c r="L31" s="101">
        <f t="shared" si="0"/>
        <v>0</v>
      </c>
      <c r="M31" s="53" t="str">
        <f t="shared" si="1"/>
        <v/>
      </c>
      <c r="N31" s="53" t="str">
        <f t="shared" si="2"/>
        <v/>
      </c>
      <c r="O31" s="74" t="str">
        <f t="shared" si="3"/>
        <v/>
      </c>
      <c r="P31" s="49"/>
      <c r="Q31" s="76"/>
      <c r="T31" s="63"/>
      <c r="X31" s="51"/>
    </row>
    <row r="32" spans="1:30" s="50" customFormat="1" ht="30" customHeight="1" thickBot="1" x14ac:dyDescent="0.35">
      <c r="A32" s="68"/>
      <c r="B32" s="290" t="str">
        <f>IF(A32:A49="","",IF(N$4="sys/",VLOOKUP(A32:A49,#REF!,4,FALSE),VLOOKUP(A32:A49,#REF!,4,FALSE)))</f>
        <v/>
      </c>
      <c r="C32" s="291"/>
      <c r="D32" s="292"/>
      <c r="E32" s="293" t="str">
        <f>IF(A32:A49="","",IF(N$4="sys/",VLOOKUP(A32:A49,#REF!,7,FALSE),VLOOKUP(A32:A49,#REF!,7,FALSE)))</f>
        <v/>
      </c>
      <c r="F32" s="294"/>
      <c r="G32" s="90" t="str">
        <f>IF(A32:A49="","",IF(P$4="sys/",VLOOKUP(A32:A49,#REF!,9,FALSE),VLOOKUP(A32:A49,#REF!,9,FALSE)))</f>
        <v/>
      </c>
      <c r="H32" s="107"/>
      <c r="I32" s="90" t="str">
        <f t="shared" si="4"/>
        <v/>
      </c>
      <c r="J32" s="53" t="str">
        <f>IF(A32:A49="","",IF(N$4="sys/",VLOOKUP(A32:A49,#REF!,8,FALSE),VLOOKUP(A32:A49,#REF!,8,FALSE)))</f>
        <v/>
      </c>
      <c r="K32" s="53"/>
      <c r="L32" s="101">
        <f t="shared" si="0"/>
        <v>0</v>
      </c>
      <c r="M32" s="53" t="str">
        <f t="shared" si="1"/>
        <v/>
      </c>
      <c r="N32" s="53" t="str">
        <f t="shared" si="2"/>
        <v/>
      </c>
      <c r="O32" s="74" t="str">
        <f t="shared" si="3"/>
        <v/>
      </c>
      <c r="P32" s="49"/>
      <c r="Q32" s="76"/>
      <c r="T32" s="63"/>
      <c r="X32" s="51"/>
    </row>
    <row r="33" spans="1:24" s="50" customFormat="1" ht="30" customHeight="1" thickBot="1" x14ac:dyDescent="0.35">
      <c r="A33" s="68"/>
      <c r="B33" s="290" t="str">
        <f>IF(A33:A50="","",IF(N$4="sys/",VLOOKUP(A33:A50,#REF!,4,FALSE),VLOOKUP(A33:A50,#REF!,4,FALSE)))</f>
        <v/>
      </c>
      <c r="C33" s="291"/>
      <c r="D33" s="292"/>
      <c r="E33" s="293" t="str">
        <f>IF(A33:A50="","",IF(N$4="sys/",VLOOKUP(A33:A50,#REF!,7,FALSE),VLOOKUP(A33:A50,#REF!,7,FALSE)))</f>
        <v/>
      </c>
      <c r="F33" s="294"/>
      <c r="G33" s="90" t="str">
        <f>IF(A33:A50="","",IF(P$4="sys/",VLOOKUP(A33:A50,#REF!,9,FALSE),VLOOKUP(A33:A50,#REF!,9,FALSE)))</f>
        <v/>
      </c>
      <c r="H33" s="107"/>
      <c r="I33" s="90" t="str">
        <f t="shared" si="4"/>
        <v/>
      </c>
      <c r="J33" s="53" t="str">
        <f>IF(A33:A50="","",IF(N$4="sys/",VLOOKUP(A33:A50,#REF!,8,FALSE),VLOOKUP(A33:A50,#REF!,8,FALSE)))</f>
        <v/>
      </c>
      <c r="K33" s="53"/>
      <c r="L33" s="101">
        <f t="shared" si="0"/>
        <v>0</v>
      </c>
      <c r="M33" s="53" t="str">
        <f t="shared" si="1"/>
        <v/>
      </c>
      <c r="N33" s="53" t="str">
        <f t="shared" si="2"/>
        <v/>
      </c>
      <c r="O33" s="74" t="str">
        <f t="shared" si="3"/>
        <v/>
      </c>
      <c r="P33" s="49"/>
      <c r="Q33" s="76"/>
      <c r="T33" s="63"/>
      <c r="X33" s="51"/>
    </row>
    <row r="34" spans="1:24" s="50" customFormat="1" ht="30" customHeight="1" thickBot="1" x14ac:dyDescent="0.35">
      <c r="A34" s="68"/>
      <c r="B34" s="290" t="str">
        <f>IF(A34:A51="","",IF(N$4="sys/",VLOOKUP(A34:A51,#REF!,4,FALSE),VLOOKUP(A34:A51,#REF!,4,FALSE)))</f>
        <v/>
      </c>
      <c r="C34" s="291"/>
      <c r="D34" s="292"/>
      <c r="E34" s="293" t="str">
        <f>IF(A34:A51="","",IF(N$4="sys/",VLOOKUP(A34:A51,#REF!,7,FALSE),VLOOKUP(A34:A51,#REF!,7,FALSE)))</f>
        <v/>
      </c>
      <c r="F34" s="294"/>
      <c r="G34" s="90" t="str">
        <f>IF(A34:A51="","",IF(P$4="sys/",VLOOKUP(A34:A51,#REF!,9,FALSE),VLOOKUP(A34:A51,#REF!,9,FALSE)))</f>
        <v/>
      </c>
      <c r="H34" s="107"/>
      <c r="I34" s="90" t="str">
        <f t="shared" si="4"/>
        <v/>
      </c>
      <c r="J34" s="53" t="str">
        <f>IF(A34:A51="","",IF(N$4="sys/",VLOOKUP(A34:A51,#REF!,8,FALSE),VLOOKUP(A34:A51,#REF!,8,FALSE)))</f>
        <v/>
      </c>
      <c r="K34" s="53"/>
      <c r="L34" s="101">
        <f t="shared" si="0"/>
        <v>0</v>
      </c>
      <c r="M34" s="53" t="str">
        <f t="shared" si="1"/>
        <v/>
      </c>
      <c r="N34" s="53" t="str">
        <f t="shared" si="2"/>
        <v/>
      </c>
      <c r="O34" s="74" t="str">
        <f t="shared" si="3"/>
        <v/>
      </c>
      <c r="P34" s="49"/>
      <c r="Q34" s="76"/>
      <c r="T34" s="63"/>
      <c r="X34" s="51"/>
    </row>
    <row r="35" spans="1:24" ht="17.25" thickBot="1" x14ac:dyDescent="0.35">
      <c r="A35" s="97" t="s">
        <v>5</v>
      </c>
      <c r="B35" s="98"/>
      <c r="C35" s="98"/>
      <c r="D35" s="98"/>
      <c r="E35" s="98"/>
      <c r="F35" s="98"/>
      <c r="G35" s="98"/>
      <c r="H35" s="98"/>
      <c r="I35" s="98">
        <f>AVERAGE(I17:I34)</f>
        <v>1</v>
      </c>
      <c r="J35" s="98"/>
      <c r="K35" s="99">
        <f>SUM(K17:K34)</f>
        <v>24000</v>
      </c>
      <c r="L35" s="99"/>
      <c r="M35" s="99">
        <f>SUM(M17:M34)</f>
        <v>25440</v>
      </c>
      <c r="N35" s="99"/>
      <c r="O35" s="100">
        <f>SUM(O17:O34)</f>
        <v>832320</v>
      </c>
      <c r="Q35" t="s">
        <v>125</v>
      </c>
      <c r="R35" s="76"/>
      <c r="S35" s="76"/>
      <c r="T35" s="76"/>
      <c r="U35" t="e">
        <f>SUM(U17:U28)</f>
        <v>#DIV/0!</v>
      </c>
      <c r="X35" s="47" t="e">
        <f>U35/O44</f>
        <v>#DIV/0!</v>
      </c>
    </row>
    <row r="36" spans="1:24" ht="21" x14ac:dyDescent="0.3">
      <c r="A36" s="286" t="s">
        <v>37</v>
      </c>
      <c r="B36" s="287"/>
      <c r="C36" s="271" t="s">
        <v>40</v>
      </c>
      <c r="D36" s="271"/>
      <c r="E36" s="6"/>
      <c r="F36" s="6"/>
      <c r="G36" s="6"/>
      <c r="H36" s="6"/>
      <c r="I36" s="6"/>
      <c r="J36" s="6"/>
      <c r="K36" s="6"/>
      <c r="L36" s="6"/>
      <c r="M36" s="295" t="s">
        <v>21</v>
      </c>
      <c r="N36" s="296"/>
      <c r="O36" s="57">
        <f>O35</f>
        <v>832320</v>
      </c>
      <c r="T36" s="46"/>
      <c r="X36" s="47"/>
    </row>
    <row r="37" spans="1:24" ht="18.75" x14ac:dyDescent="0.3">
      <c r="A37" s="286" t="s">
        <v>38</v>
      </c>
      <c r="B37" s="287"/>
      <c r="C37" s="271" t="s">
        <v>139</v>
      </c>
      <c r="D37" s="271"/>
      <c r="E37" s="6"/>
      <c r="F37" s="6"/>
      <c r="G37" s="6"/>
      <c r="H37" s="6"/>
      <c r="I37" s="6"/>
      <c r="J37" s="6"/>
      <c r="K37" s="6"/>
      <c r="L37" s="6"/>
      <c r="M37" s="288" t="s">
        <v>22</v>
      </c>
      <c r="N37" s="289"/>
      <c r="O37" s="56">
        <f>(T14*Y13+U14*Y14)*V14</f>
        <v>19800</v>
      </c>
      <c r="T37" s="47"/>
      <c r="X37" s="47"/>
    </row>
    <row r="38" spans="1:24" ht="16.5" customHeight="1" x14ac:dyDescent="0.3">
      <c r="A38" s="12" t="s">
        <v>46</v>
      </c>
      <c r="B38" s="6"/>
      <c r="C38" s="44" t="s">
        <v>28</v>
      </c>
      <c r="D38" s="6"/>
      <c r="E38" s="6"/>
      <c r="F38" s="6"/>
      <c r="G38" s="6"/>
      <c r="H38" s="6"/>
      <c r="I38" s="6"/>
      <c r="J38" s="6"/>
      <c r="K38" s="6"/>
      <c r="L38" s="6"/>
      <c r="M38" s="276" t="s">
        <v>26</v>
      </c>
      <c r="N38" s="277"/>
      <c r="O38" s="55">
        <v>0</v>
      </c>
      <c r="U38" s="69" t="s">
        <v>82</v>
      </c>
    </row>
    <row r="39" spans="1:24" ht="16.5" customHeight="1" x14ac:dyDescent="0.3">
      <c r="A39" s="15" t="str">
        <f>IF(B1=X1,Z3,AA3)</f>
        <v>PAYEE:SINOCHEM TIANJIN CO., LTD</v>
      </c>
      <c r="B39" s="6"/>
      <c r="C39" s="6"/>
      <c r="D39" s="6"/>
      <c r="E39" s="6"/>
      <c r="F39" s="6"/>
      <c r="G39" s="6"/>
      <c r="H39" s="6"/>
      <c r="I39" s="6"/>
      <c r="J39" s="6"/>
      <c r="K39" s="6"/>
      <c r="L39" s="6"/>
      <c r="M39" s="276" t="s">
        <v>27</v>
      </c>
      <c r="N39" s="277"/>
      <c r="O39" s="55">
        <v>0</v>
      </c>
    </row>
    <row r="40" spans="1:24" ht="16.5" customHeight="1" x14ac:dyDescent="0.3">
      <c r="A40" s="16" t="s">
        <v>13</v>
      </c>
      <c r="B40" s="6"/>
      <c r="C40" s="6"/>
      <c r="D40" s="6"/>
      <c r="E40" s="6"/>
      <c r="F40" s="6"/>
      <c r="G40" s="6"/>
      <c r="H40" s="6"/>
      <c r="I40" s="6"/>
      <c r="J40" s="6"/>
      <c r="K40" s="6"/>
      <c r="L40" s="6"/>
      <c r="M40" s="6"/>
      <c r="N40" s="6"/>
      <c r="O40" s="55">
        <v>0</v>
      </c>
    </row>
    <row r="41" spans="1:24" ht="16.5" customHeight="1" x14ac:dyDescent="0.3">
      <c r="A41" s="16" t="s">
        <v>14</v>
      </c>
      <c r="B41" s="6"/>
      <c r="C41" s="6"/>
      <c r="D41" s="6"/>
      <c r="E41" s="6"/>
      <c r="F41" s="6"/>
      <c r="G41" s="6"/>
      <c r="H41" s="6"/>
      <c r="I41" s="6"/>
      <c r="J41" s="6"/>
      <c r="K41" s="6"/>
      <c r="L41" s="6"/>
      <c r="M41" s="6"/>
      <c r="N41" s="6"/>
      <c r="O41" s="55">
        <v>0</v>
      </c>
    </row>
    <row r="42" spans="1:24" ht="16.5" customHeight="1" x14ac:dyDescent="0.3">
      <c r="A42" s="16" t="s">
        <v>15</v>
      </c>
      <c r="B42" s="6"/>
      <c r="C42" s="6"/>
      <c r="D42" s="6"/>
      <c r="E42" s="6"/>
      <c r="F42" s="6"/>
      <c r="G42" s="6"/>
      <c r="H42" s="6"/>
      <c r="I42" s="6"/>
      <c r="J42" s="6"/>
      <c r="K42" s="6"/>
      <c r="L42" s="6"/>
      <c r="M42" s="6"/>
      <c r="N42" s="6"/>
      <c r="O42" s="55">
        <v>0</v>
      </c>
    </row>
    <row r="43" spans="1:24" ht="16.5" customHeight="1" x14ac:dyDescent="0.3">
      <c r="A43" s="16" t="s">
        <v>16</v>
      </c>
      <c r="B43" s="6"/>
      <c r="C43" s="6"/>
      <c r="D43" s="6"/>
      <c r="E43" s="6"/>
      <c r="F43" s="6"/>
      <c r="G43" s="6"/>
      <c r="H43" s="6"/>
      <c r="I43" s="6"/>
      <c r="J43" s="6"/>
      <c r="K43" s="6"/>
      <c r="L43" s="6"/>
      <c r="M43" s="6"/>
      <c r="N43" s="6"/>
      <c r="O43" s="55">
        <v>0</v>
      </c>
      <c r="Q43" s="72">
        <v>426655.25</v>
      </c>
    </row>
    <row r="44" spans="1:24" ht="21.75" thickBot="1" x14ac:dyDescent="0.4">
      <c r="A44" s="16" t="str">
        <f>IF(B1=X1,Z2,AA2)</f>
        <v>ACCOUNT NUMBER:10002000096220000016</v>
      </c>
      <c r="B44" s="1"/>
      <c r="C44" s="1"/>
      <c r="D44" s="1"/>
      <c r="E44" s="1"/>
      <c r="F44" s="1"/>
      <c r="G44" s="1"/>
      <c r="H44" s="1"/>
      <c r="I44" s="1"/>
      <c r="J44" s="1"/>
      <c r="K44" s="1"/>
      <c r="L44" s="1"/>
      <c r="M44" s="278" t="s">
        <v>25</v>
      </c>
      <c r="N44" s="279"/>
      <c r="O44" s="54">
        <f>SUM(O36+O37)</f>
        <v>852120</v>
      </c>
    </row>
    <row r="45" spans="1:24" ht="18.75" thickBot="1" x14ac:dyDescent="0.35">
      <c r="A45" s="280" t="s">
        <v>83</v>
      </c>
      <c r="B45" s="281"/>
      <c r="C45" s="282" t="e">
        <f ca="1">SpellNumber(O44)</f>
        <v>#NAME?</v>
      </c>
      <c r="D45" s="282"/>
      <c r="E45" s="282"/>
      <c r="F45" s="282"/>
      <c r="G45" s="282"/>
      <c r="H45" s="282"/>
      <c r="I45" s="282"/>
      <c r="J45" s="282"/>
      <c r="K45" s="283"/>
      <c r="L45" s="103"/>
      <c r="M45" s="1"/>
      <c r="N45" s="1"/>
      <c r="O45" s="45" t="s">
        <v>51</v>
      </c>
    </row>
    <row r="46" spans="1:24" x14ac:dyDescent="0.3">
      <c r="A46" s="284"/>
      <c r="B46" s="285"/>
      <c r="C46" s="285"/>
      <c r="D46" s="285"/>
      <c r="E46" s="285"/>
      <c r="F46" s="285"/>
      <c r="G46" s="285"/>
      <c r="H46" s="285"/>
      <c r="I46" s="285"/>
      <c r="J46" s="285"/>
      <c r="K46" s="285"/>
      <c r="L46" s="102"/>
      <c r="M46" s="1"/>
      <c r="N46" s="1"/>
      <c r="O46" s="17"/>
    </row>
    <row r="47" spans="1:24" ht="16.5" x14ac:dyDescent="0.3">
      <c r="A47" s="18" t="s">
        <v>8</v>
      </c>
      <c r="B47" s="5"/>
      <c r="C47" s="5"/>
      <c r="D47" s="5"/>
      <c r="E47" s="5"/>
      <c r="F47" s="5"/>
      <c r="G47" s="5"/>
      <c r="H47" s="5"/>
      <c r="I47" s="5"/>
      <c r="J47" s="5"/>
      <c r="K47" s="5"/>
      <c r="L47" s="5"/>
      <c r="M47" s="5"/>
      <c r="N47" s="5"/>
      <c r="O47" s="19"/>
    </row>
    <row r="48" spans="1:24" x14ac:dyDescent="0.3">
      <c r="A48" s="28" t="s">
        <v>4</v>
      </c>
      <c r="B48" s="27"/>
      <c r="C48" s="27" t="s">
        <v>28</v>
      </c>
      <c r="D48" s="27"/>
      <c r="E48" s="27"/>
      <c r="F48" s="27"/>
      <c r="G48" s="1"/>
      <c r="H48" s="1"/>
      <c r="I48" s="1"/>
      <c r="J48" s="1"/>
      <c r="K48" s="1"/>
      <c r="L48" s="1"/>
      <c r="M48" s="1"/>
      <c r="N48" s="1"/>
      <c r="O48" s="17"/>
    </row>
    <row r="49" spans="1:21" x14ac:dyDescent="0.3">
      <c r="A49" s="28" t="s">
        <v>2</v>
      </c>
      <c r="B49" s="27"/>
      <c r="C49" s="27" t="s">
        <v>28</v>
      </c>
      <c r="D49" s="27"/>
      <c r="E49" s="27"/>
      <c r="F49" s="27"/>
      <c r="G49" s="1"/>
      <c r="H49" s="1"/>
      <c r="I49" s="1"/>
      <c r="J49" s="1"/>
      <c r="K49" s="1"/>
      <c r="L49" s="1"/>
      <c r="M49" s="1"/>
      <c r="N49" s="1"/>
      <c r="O49" s="17"/>
      <c r="U49" t="e">
        <f ca="1">SpellNumber(O44)</f>
        <v>#NAME?</v>
      </c>
    </row>
    <row r="50" spans="1:21" x14ac:dyDescent="0.3">
      <c r="A50" s="28" t="s">
        <v>3</v>
      </c>
      <c r="B50" s="27"/>
      <c r="C50" s="27" t="s">
        <v>29</v>
      </c>
      <c r="D50" s="27"/>
      <c r="E50" s="27"/>
      <c r="F50" s="27"/>
      <c r="G50" s="1"/>
      <c r="H50" s="1"/>
      <c r="I50" s="1"/>
      <c r="J50" s="1"/>
      <c r="K50" s="1"/>
      <c r="L50" s="1"/>
      <c r="M50" s="1"/>
      <c r="N50" s="1"/>
      <c r="O50" s="17"/>
    </row>
    <row r="51" spans="1:21" x14ac:dyDescent="0.3">
      <c r="A51" s="28"/>
      <c r="B51" s="27"/>
      <c r="C51" s="27"/>
      <c r="D51" s="27"/>
      <c r="E51" s="27"/>
      <c r="F51" s="27"/>
      <c r="G51" s="1"/>
      <c r="H51" s="1"/>
      <c r="I51" s="1"/>
      <c r="J51" s="1"/>
      <c r="K51" s="1"/>
      <c r="L51" s="1"/>
      <c r="M51" s="1"/>
      <c r="N51" s="1"/>
      <c r="O51" s="17"/>
      <c r="T51" t="e">
        <f ca="1">SpellNumber(O44)</f>
        <v>#NAME?</v>
      </c>
    </row>
    <row r="52" spans="1:21" x14ac:dyDescent="0.3">
      <c r="A52" s="29" t="s">
        <v>6</v>
      </c>
      <c r="B52" s="26"/>
      <c r="C52" s="271" t="s">
        <v>24</v>
      </c>
      <c r="D52" s="271"/>
      <c r="E52" s="271"/>
      <c r="F52" s="271"/>
      <c r="G52" s="2"/>
      <c r="H52" s="2"/>
      <c r="I52" s="2"/>
      <c r="J52" s="2"/>
      <c r="K52" s="2"/>
      <c r="L52" s="2"/>
      <c r="M52" s="2"/>
      <c r="N52" s="2"/>
      <c r="O52" s="17"/>
      <c r="T52" t="e">
        <f ca="1">SpellNumber(O44)</f>
        <v>#NAME?</v>
      </c>
    </row>
    <row r="53" spans="1:21" x14ac:dyDescent="0.3">
      <c r="A53" s="20"/>
      <c r="B53" s="2"/>
      <c r="C53" s="2"/>
      <c r="D53" s="2"/>
      <c r="E53" s="2"/>
      <c r="F53" s="2"/>
      <c r="G53" s="2"/>
      <c r="H53" s="2"/>
      <c r="I53" s="2"/>
      <c r="J53" s="2"/>
      <c r="K53" s="2"/>
      <c r="L53" s="2"/>
      <c r="M53" s="2"/>
      <c r="N53" s="2"/>
      <c r="O53" s="17"/>
      <c r="T53" t="e">
        <f ca="1">SpellNumber(O44)</f>
        <v>#NAME?</v>
      </c>
    </row>
    <row r="54" spans="1:21" ht="15" customHeight="1" x14ac:dyDescent="0.3">
      <c r="A54" s="272" t="s">
        <v>30</v>
      </c>
      <c r="B54" s="273"/>
      <c r="C54" s="273"/>
      <c r="D54" s="273"/>
      <c r="E54" s="273"/>
      <c r="F54" s="273"/>
      <c r="G54" s="273"/>
      <c r="H54" s="78"/>
      <c r="I54" s="78"/>
      <c r="J54" s="2"/>
      <c r="K54" s="2"/>
      <c r="L54" s="2"/>
      <c r="M54" s="2"/>
      <c r="N54" s="2"/>
      <c r="O54" s="17"/>
    </row>
    <row r="55" spans="1:21" x14ac:dyDescent="0.3">
      <c r="A55" s="272"/>
      <c r="B55" s="273"/>
      <c r="C55" s="273"/>
      <c r="D55" s="273"/>
      <c r="E55" s="273"/>
      <c r="F55" s="273"/>
      <c r="G55" s="273"/>
      <c r="H55" s="78"/>
      <c r="I55" s="78"/>
      <c r="J55" s="2"/>
      <c r="K55" s="2"/>
      <c r="L55" s="2"/>
      <c r="M55" s="2"/>
      <c r="N55" s="2"/>
      <c r="O55" s="17"/>
    </row>
    <row r="56" spans="1:21" x14ac:dyDescent="0.3">
      <c r="A56" s="272"/>
      <c r="B56" s="273"/>
      <c r="C56" s="273"/>
      <c r="D56" s="273"/>
      <c r="E56" s="273"/>
      <c r="F56" s="273"/>
      <c r="G56" s="273"/>
      <c r="H56" s="78"/>
      <c r="I56" s="78"/>
      <c r="J56" s="2"/>
      <c r="K56" s="2"/>
      <c r="L56" s="2"/>
      <c r="M56" s="2"/>
      <c r="N56" s="2"/>
      <c r="O56" s="17"/>
    </row>
    <row r="57" spans="1:21" x14ac:dyDescent="0.3">
      <c r="A57" s="21" t="s">
        <v>92</v>
      </c>
      <c r="B57" s="4"/>
      <c r="C57" s="2"/>
      <c r="D57" s="2"/>
      <c r="E57" s="2"/>
      <c r="F57" s="2"/>
      <c r="G57" s="2"/>
      <c r="H57" s="2"/>
      <c r="I57" s="2"/>
      <c r="J57" s="2"/>
      <c r="K57" s="2"/>
      <c r="L57" s="2"/>
      <c r="M57" s="2"/>
      <c r="N57" s="2"/>
      <c r="O57" s="17"/>
    </row>
    <row r="58" spans="1:21" ht="15.75" thickBot="1" x14ac:dyDescent="0.35">
      <c r="A58" s="274" t="str">
        <f>IF(B1=X1,Z1,AA1)</f>
        <v>SINOCHEM TIANJIN CO., LTD</v>
      </c>
      <c r="B58" s="275">
        <f>IF(C57=Y57,AA57,AB57)</f>
        <v>0</v>
      </c>
      <c r="C58" s="275">
        <f>IF(D57=Z57,AB57,AC57)</f>
        <v>0</v>
      </c>
      <c r="D58" s="275">
        <f>IF(E57=AA57,AC57,AD57)</f>
        <v>0</v>
      </c>
      <c r="E58" s="24"/>
      <c r="F58" s="22"/>
      <c r="G58" s="22"/>
      <c r="H58" s="22"/>
      <c r="I58" s="22"/>
      <c r="J58" s="22"/>
      <c r="K58" s="22"/>
      <c r="L58" s="22"/>
      <c r="M58" s="22"/>
      <c r="N58" s="22"/>
      <c r="O58" s="23"/>
    </row>
  </sheetData>
  <mergeCells count="68">
    <mergeCell ref="Q13:R14"/>
    <mergeCell ref="M14:N14"/>
    <mergeCell ref="B1:F1"/>
    <mergeCell ref="N2:O2"/>
    <mergeCell ref="N3:O3"/>
    <mergeCell ref="K5:M5"/>
    <mergeCell ref="N5:O5"/>
    <mergeCell ref="A10:D10"/>
    <mergeCell ref="M10:N10"/>
    <mergeCell ref="B18:D18"/>
    <mergeCell ref="E18:F18"/>
    <mergeCell ref="A11:B11"/>
    <mergeCell ref="C11:D11"/>
    <mergeCell ref="M11:N11"/>
    <mergeCell ref="M12:N12"/>
    <mergeCell ref="M13:N13"/>
    <mergeCell ref="M15:N15"/>
    <mergeCell ref="B16:D16"/>
    <mergeCell ref="E16:F16"/>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A37:B37"/>
    <mergeCell ref="C37:D37"/>
    <mergeCell ref="M37:N37"/>
    <mergeCell ref="B31:D31"/>
    <mergeCell ref="E31:F31"/>
    <mergeCell ref="B32:D32"/>
    <mergeCell ref="E32:F32"/>
    <mergeCell ref="B33:D33"/>
    <mergeCell ref="E33:F33"/>
    <mergeCell ref="B34:D34"/>
    <mergeCell ref="E34:F34"/>
    <mergeCell ref="A36:B36"/>
    <mergeCell ref="C36:D36"/>
    <mergeCell ref="M36:N36"/>
    <mergeCell ref="C52:F52"/>
    <mergeCell ref="A54:G56"/>
    <mergeCell ref="A58:D58"/>
    <mergeCell ref="M38:N38"/>
    <mergeCell ref="M39:N39"/>
    <mergeCell ref="M44:N44"/>
    <mergeCell ref="A45:B45"/>
    <mergeCell ref="C45:K45"/>
    <mergeCell ref="A46:K46"/>
  </mergeCells>
  <dataValidations count="1">
    <dataValidation type="list" allowBlank="1" showInputMessage="1" showErrorMessage="1" sqref="B1:F1" xr:uid="{00000000-0002-0000-0900-000000000000}">
      <formula1>$X$1:$Y$1</formula1>
    </dataValidation>
  </dataValidations>
  <printOptions horizontalCentered="1"/>
  <pageMargins left="0.511811023622047" right="0.511811023622047" top="0.511811023622047" bottom="0.511811023622047" header="0.511811023622047" footer="0.23622047244094499"/>
  <pageSetup scale="60"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2"/>
  <dimension ref="A1:AD58"/>
  <sheetViews>
    <sheetView showGridLines="0" topLeftCell="A7" zoomScale="93" zoomScaleNormal="93" workbookViewId="0">
      <selection activeCell="A10" sqref="A10:D10"/>
    </sheetView>
  </sheetViews>
  <sheetFormatPr defaultRowHeight="15" x14ac:dyDescent="0.3"/>
  <cols>
    <col min="1" max="3" width="11.42578125" customWidth="1"/>
    <col min="4" max="4" width="21.140625" customWidth="1"/>
    <col min="5" max="5" width="11.42578125" customWidth="1"/>
    <col min="6" max="6" width="17" customWidth="1"/>
    <col min="7" max="7" width="8.140625" bestFit="1" customWidth="1"/>
    <col min="8" max="8" width="8.140625" customWidth="1"/>
    <col min="9" max="9" width="9.42578125" hidden="1" customWidth="1"/>
    <col min="10" max="11" width="11.42578125" customWidth="1"/>
    <col min="12" max="12" width="11.42578125" hidden="1" customWidth="1"/>
    <col min="13" max="14" width="11.42578125" customWidth="1"/>
    <col min="15" max="15" width="16.85546875" customWidth="1"/>
    <col min="16" max="16" width="10.85546875" bestFit="1" customWidth="1"/>
    <col min="17" max="17" width="9.85546875" bestFit="1" customWidth="1"/>
    <col min="20" max="20" width="11.85546875" bestFit="1" customWidth="1"/>
    <col min="24" max="24" width="13.7109375" bestFit="1" customWidth="1"/>
  </cols>
  <sheetData>
    <row r="1" spans="1:27" ht="78" customHeight="1" x14ac:dyDescent="0.45">
      <c r="A1" s="8"/>
      <c r="B1" s="306" t="s">
        <v>108</v>
      </c>
      <c r="C1" s="306"/>
      <c r="D1" s="306"/>
      <c r="E1" s="306"/>
      <c r="F1" s="306"/>
      <c r="G1" s="104"/>
      <c r="H1" s="104"/>
      <c r="I1" s="104"/>
      <c r="J1" s="104"/>
      <c r="K1" s="104"/>
      <c r="L1" s="104"/>
      <c r="M1" s="104"/>
      <c r="N1" s="104"/>
      <c r="O1" s="30" t="s">
        <v>7</v>
      </c>
      <c r="X1" s="87" t="s">
        <v>74</v>
      </c>
      <c r="Y1" s="88" t="s">
        <v>108</v>
      </c>
      <c r="Z1" s="38" t="s">
        <v>69</v>
      </c>
      <c r="AA1" s="38" t="s">
        <v>109</v>
      </c>
    </row>
    <row r="2" spans="1:27" ht="16.5" x14ac:dyDescent="0.3">
      <c r="A2" s="38" t="str">
        <f>IF(B1=X1,Z1,AA1)</f>
        <v>SINOCHEM TIANJIN CO., LTD</v>
      </c>
      <c r="B2" s="39"/>
      <c r="C2" s="39"/>
      <c r="D2" s="9"/>
      <c r="E2" s="9"/>
      <c r="F2" s="9"/>
      <c r="G2" s="9"/>
      <c r="H2" s="9"/>
      <c r="I2" s="9"/>
      <c r="J2" s="9"/>
      <c r="K2" s="35"/>
      <c r="L2" s="35"/>
      <c r="M2" s="36" t="s">
        <v>45</v>
      </c>
      <c r="N2" s="307">
        <v>42217</v>
      </c>
      <c r="O2" s="308"/>
      <c r="Z2" s="89" t="s">
        <v>110</v>
      </c>
      <c r="AA2" s="89" t="s">
        <v>111</v>
      </c>
    </row>
    <row r="3" spans="1:27" ht="16.5" x14ac:dyDescent="0.3">
      <c r="A3" s="40" t="s">
        <v>11</v>
      </c>
      <c r="B3" s="41"/>
      <c r="C3" s="41"/>
      <c r="D3" s="10"/>
      <c r="E3" s="10"/>
      <c r="F3" s="10"/>
      <c r="G3" s="10"/>
      <c r="H3" s="10"/>
      <c r="I3" s="10"/>
      <c r="J3" s="10"/>
      <c r="K3" s="37"/>
      <c r="L3" s="37"/>
      <c r="M3" s="36" t="s">
        <v>44</v>
      </c>
      <c r="N3" s="307" t="s">
        <v>96</v>
      </c>
      <c r="O3" s="308"/>
      <c r="Z3" s="38" t="s">
        <v>112</v>
      </c>
      <c r="AA3" s="38" t="s">
        <v>113</v>
      </c>
    </row>
    <row r="4" spans="1:27" ht="15" customHeight="1" x14ac:dyDescent="0.3">
      <c r="A4" s="40" t="s">
        <v>12</v>
      </c>
      <c r="B4" s="41"/>
      <c r="C4" s="41"/>
      <c r="D4" s="9"/>
      <c r="E4" s="9"/>
      <c r="F4" s="9"/>
      <c r="G4" s="9"/>
      <c r="H4" s="9"/>
      <c r="I4" s="9"/>
      <c r="J4" s="9"/>
      <c r="K4" s="35"/>
      <c r="L4" s="35"/>
      <c r="M4" s="36" t="s">
        <v>47</v>
      </c>
      <c r="N4" s="79" t="s">
        <v>98</v>
      </c>
      <c r="O4" s="77" t="s">
        <v>138</v>
      </c>
    </row>
    <row r="5" spans="1:27" ht="16.5" x14ac:dyDescent="0.3">
      <c r="A5" s="40" t="s">
        <v>10</v>
      </c>
      <c r="B5" s="41"/>
      <c r="C5" s="41"/>
      <c r="D5" s="9"/>
      <c r="E5" s="9"/>
      <c r="F5" s="9"/>
      <c r="G5" s="9"/>
      <c r="H5" s="9"/>
      <c r="I5" s="9"/>
      <c r="J5" s="9"/>
      <c r="K5" s="309"/>
      <c r="L5" s="309"/>
      <c r="M5" s="309"/>
      <c r="N5" s="310"/>
      <c r="O5" s="311"/>
      <c r="R5" t="s">
        <v>105</v>
      </c>
    </row>
    <row r="6" spans="1:27" ht="16.5" x14ac:dyDescent="0.3">
      <c r="A6" s="40" t="s">
        <v>9</v>
      </c>
      <c r="B6" s="41"/>
      <c r="C6" s="41"/>
      <c r="D6" s="9"/>
      <c r="E6" s="9"/>
      <c r="F6" s="9"/>
      <c r="G6" s="9"/>
      <c r="H6" s="9"/>
      <c r="I6" s="9"/>
      <c r="J6" s="9"/>
      <c r="K6" s="9"/>
      <c r="L6" s="9"/>
      <c r="M6" s="9"/>
      <c r="N6" s="9"/>
      <c r="O6" s="11"/>
      <c r="R6" t="s">
        <v>106</v>
      </c>
    </row>
    <row r="7" spans="1:27" x14ac:dyDescent="0.3">
      <c r="A7" s="12"/>
      <c r="B7" s="1"/>
      <c r="C7" s="1"/>
      <c r="D7" s="9"/>
      <c r="E7" s="9"/>
      <c r="F7" s="9"/>
      <c r="G7" s="9"/>
      <c r="H7" s="9"/>
      <c r="I7" s="9"/>
      <c r="J7" s="9"/>
      <c r="K7" s="9"/>
      <c r="L7" s="9"/>
      <c r="M7" s="9"/>
      <c r="N7" s="9"/>
      <c r="O7" s="11"/>
      <c r="R7" t="s">
        <v>89</v>
      </c>
    </row>
    <row r="8" spans="1:27" x14ac:dyDescent="0.3">
      <c r="A8" s="12"/>
      <c r="B8" s="1"/>
      <c r="C8" s="1"/>
      <c r="D8" s="1"/>
      <c r="E8" s="1"/>
      <c r="F8" s="1"/>
      <c r="G8" s="1"/>
      <c r="H8" s="1"/>
      <c r="I8" s="1"/>
      <c r="J8" s="1"/>
      <c r="K8" s="1"/>
      <c r="L8" s="1"/>
      <c r="M8" s="1"/>
      <c r="N8" s="1"/>
      <c r="O8" s="11"/>
    </row>
    <row r="9" spans="1:27" ht="16.5" x14ac:dyDescent="0.3">
      <c r="A9" s="13" t="s">
        <v>1</v>
      </c>
      <c r="B9" s="3"/>
      <c r="C9" s="3"/>
      <c r="D9" s="3"/>
      <c r="E9" s="3"/>
      <c r="F9" s="3"/>
      <c r="G9" s="3"/>
      <c r="H9" s="3"/>
      <c r="I9" s="3"/>
      <c r="J9" s="3"/>
      <c r="K9" s="3"/>
      <c r="L9" s="3"/>
      <c r="M9" s="3"/>
      <c r="N9" s="3" t="s">
        <v>31</v>
      </c>
      <c r="O9" s="34"/>
    </row>
    <row r="10" spans="1:27" ht="16.5" x14ac:dyDescent="0.3">
      <c r="A10" s="297" t="s">
        <v>88</v>
      </c>
      <c r="B10" s="298"/>
      <c r="C10" s="298"/>
      <c r="D10" s="298"/>
      <c r="E10" s="9"/>
      <c r="F10" s="9"/>
      <c r="G10" s="9"/>
      <c r="H10" s="9"/>
      <c r="I10" s="9"/>
      <c r="J10" s="9"/>
      <c r="K10" s="9"/>
      <c r="L10" s="9"/>
      <c r="M10" s="299" t="s">
        <v>32</v>
      </c>
      <c r="N10" s="299"/>
      <c r="O10" s="59" t="s">
        <v>34</v>
      </c>
    </row>
    <row r="11" spans="1:27" ht="16.5" customHeight="1" x14ac:dyDescent="0.3">
      <c r="A11" s="297" t="s">
        <v>90</v>
      </c>
      <c r="B11" s="298"/>
      <c r="C11" s="298" t="e">
        <f>VLOOKUP(A10,#REF!,2,FALSE)</f>
        <v>#REF!</v>
      </c>
      <c r="D11" s="298"/>
      <c r="E11" s="9"/>
      <c r="F11" s="9"/>
      <c r="G11" s="9"/>
      <c r="H11" s="9"/>
      <c r="I11" s="9"/>
      <c r="J11" s="9"/>
      <c r="K11" s="9"/>
      <c r="L11" s="9"/>
      <c r="M11" s="299" t="s">
        <v>42</v>
      </c>
      <c r="N11" s="299"/>
      <c r="O11" s="59" t="s">
        <v>43</v>
      </c>
    </row>
    <row r="12" spans="1:27" ht="16.5" customHeight="1" x14ac:dyDescent="0.3">
      <c r="A12" s="40" t="e">
        <f>VLOOKUP(A10,#REF!,3,FALSE)</f>
        <v>#REF!</v>
      </c>
      <c r="B12" s="41"/>
      <c r="C12" s="41"/>
      <c r="D12" s="9"/>
      <c r="E12" s="9"/>
      <c r="F12" s="9"/>
      <c r="G12" s="9"/>
      <c r="H12" s="9"/>
      <c r="I12" s="9"/>
      <c r="J12" s="9"/>
      <c r="K12" s="9"/>
      <c r="L12" s="9"/>
      <c r="M12" s="299" t="s">
        <v>41</v>
      </c>
      <c r="N12" s="299"/>
      <c r="O12" s="61">
        <f xml:space="preserve"> M35</f>
        <v>25440</v>
      </c>
      <c r="Y12" t="s">
        <v>80</v>
      </c>
      <c r="AA12" t="s">
        <v>36</v>
      </c>
    </row>
    <row r="13" spans="1:27" ht="16.5" customHeight="1" x14ac:dyDescent="0.3">
      <c r="A13" s="40" t="s">
        <v>70</v>
      </c>
      <c r="B13" s="41" t="e">
        <f>VLOOKUP(A10,#REF!,4,FALSE)</f>
        <v>#REF!</v>
      </c>
      <c r="C13" s="41"/>
      <c r="D13" s="9"/>
      <c r="E13" s="9"/>
      <c r="F13" s="9"/>
      <c r="G13" s="9"/>
      <c r="H13" s="9"/>
      <c r="I13" s="9"/>
      <c r="J13" s="9"/>
      <c r="K13" s="9"/>
      <c r="L13" s="9"/>
      <c r="M13" s="299" t="s">
        <v>35</v>
      </c>
      <c r="N13" s="299"/>
      <c r="O13" s="60" t="str">
        <f>IF(I35=1,"Cartons",IF(I35=2,"Drums","Cartons &amp; Drums"))</f>
        <v>Cartons</v>
      </c>
      <c r="Q13" s="215" t="s">
        <v>77</v>
      </c>
      <c r="R13" s="215"/>
      <c r="S13" s="105"/>
      <c r="T13" s="64" t="s">
        <v>78</v>
      </c>
      <c r="U13" s="65" t="s">
        <v>76</v>
      </c>
      <c r="V13" t="s">
        <v>95</v>
      </c>
      <c r="X13" s="51" t="s">
        <v>75</v>
      </c>
      <c r="Y13" s="50">
        <v>19800</v>
      </c>
      <c r="AA13" t="s">
        <v>67</v>
      </c>
    </row>
    <row r="14" spans="1:27" ht="16.5" customHeight="1" x14ac:dyDescent="0.3">
      <c r="A14" s="42" t="s">
        <v>71</v>
      </c>
      <c r="B14" s="43" t="e">
        <f>VLOOKUP(A10,#REF!,5,FALSE)</f>
        <v>#REF!</v>
      </c>
      <c r="C14" s="41"/>
      <c r="D14" s="9"/>
      <c r="E14" s="9"/>
      <c r="F14" s="9"/>
      <c r="G14" s="9"/>
      <c r="H14" s="9"/>
      <c r="I14" s="9"/>
      <c r="J14" s="9"/>
      <c r="K14" s="9"/>
      <c r="L14" s="9"/>
      <c r="M14" s="299" t="s">
        <v>33</v>
      </c>
      <c r="N14" s="299"/>
      <c r="O14" s="60">
        <f>SUM(L17:L34)</f>
        <v>960</v>
      </c>
      <c r="Q14" s="215"/>
      <c r="R14" s="215"/>
      <c r="S14" s="105"/>
      <c r="T14" s="105">
        <v>1</v>
      </c>
      <c r="U14" s="66"/>
      <c r="V14">
        <v>1</v>
      </c>
      <c r="X14" s="51" t="s">
        <v>76</v>
      </c>
      <c r="Y14" s="50">
        <v>15000</v>
      </c>
      <c r="AA14" t="s">
        <v>91</v>
      </c>
    </row>
    <row r="15" spans="1:27" ht="12" customHeight="1" thickBot="1" x14ac:dyDescent="0.35">
      <c r="A15" s="12"/>
      <c r="B15" s="1"/>
      <c r="C15" s="43"/>
      <c r="D15" s="1"/>
      <c r="E15" s="1"/>
      <c r="F15" s="1"/>
      <c r="G15" s="1"/>
      <c r="H15" s="1"/>
      <c r="I15" s="1"/>
      <c r="J15" s="1"/>
      <c r="K15" s="1"/>
      <c r="L15" s="1"/>
      <c r="M15" s="299"/>
      <c r="N15" s="299"/>
      <c r="O15" s="59"/>
      <c r="AA15" t="s">
        <v>89</v>
      </c>
    </row>
    <row r="16" spans="1:27" ht="48.75" customHeight="1" thickBot="1" x14ac:dyDescent="0.35">
      <c r="A16" s="94" t="s">
        <v>17</v>
      </c>
      <c r="B16" s="300" t="s">
        <v>0</v>
      </c>
      <c r="C16" s="300"/>
      <c r="D16" s="300"/>
      <c r="E16" s="300" t="s">
        <v>39</v>
      </c>
      <c r="F16" s="300"/>
      <c r="G16" s="95" t="s">
        <v>18</v>
      </c>
      <c r="H16" s="95" t="s">
        <v>104</v>
      </c>
      <c r="I16" s="95"/>
      <c r="J16" s="113" t="s">
        <v>19</v>
      </c>
      <c r="K16" s="113" t="s">
        <v>20</v>
      </c>
      <c r="L16" s="95" t="s">
        <v>126</v>
      </c>
      <c r="M16" s="95" t="s">
        <v>23</v>
      </c>
      <c r="N16" s="95" t="s">
        <v>49</v>
      </c>
      <c r="O16" s="96" t="s">
        <v>50</v>
      </c>
      <c r="Q16" s="32" t="s">
        <v>72</v>
      </c>
      <c r="R16" s="32" t="s">
        <v>81</v>
      </c>
      <c r="S16" s="32" t="s">
        <v>94</v>
      </c>
      <c r="T16" s="32" t="s">
        <v>93</v>
      </c>
      <c r="U16" s="32" t="s">
        <v>73</v>
      </c>
    </row>
    <row r="17" spans="1:30" s="50" customFormat="1" ht="30" customHeight="1" thickBot="1" x14ac:dyDescent="0.35">
      <c r="A17" s="91">
        <v>2992</v>
      </c>
      <c r="B17" s="301" t="e">
        <f>IF(A17:A28="","",IF(N$4="sys/",VLOOKUP(A17:A28,#REF!,4,FALSE),VLOOKUP(A17:A28,#REF!,4,FALSE)))</f>
        <v>#REF!</v>
      </c>
      <c r="C17" s="302"/>
      <c r="D17" s="303"/>
      <c r="E17" s="304" t="e">
        <f>IF(A17:A28="","",IF(N$4="sys/",VLOOKUP(A17:A28,#REF!,7,FALSE),VLOOKUP(A17:A28,#REF!,7,FALSE)))</f>
        <v>#REF!</v>
      </c>
      <c r="F17" s="305"/>
      <c r="G17" s="92" t="e">
        <f>IF(A17:A28="","",IF(P$4="sys/",VLOOKUP(A17:A28,#REF!,9,FALSE),VLOOKUP(A17:A28,#REF!,9,FALSE)))</f>
        <v>#REF!</v>
      </c>
      <c r="H17" s="106" t="s">
        <v>105</v>
      </c>
      <c r="I17" s="92">
        <f>IF(H17="","",IF(H17="carton",1,2))</f>
        <v>1</v>
      </c>
      <c r="J17" s="62" t="e">
        <f>IF(A17:A28="","",IF(N$4="sys/",VLOOKUP(A17:A28,#REF!,8,FALSE),VLOOKUP(A17:A28,#REF!,8,FALSE)))</f>
        <v>#REF!</v>
      </c>
      <c r="K17" s="53">
        <v>24000</v>
      </c>
      <c r="L17" s="101">
        <f t="shared" ref="L17:L34" si="0">IF(A17=142,K17/10,IF(A17=8064,K17/20,K17/25))</f>
        <v>960</v>
      </c>
      <c r="M17" s="62">
        <f t="shared" ref="M17:M34" si="1">IF(A17="","",IF(H17="carton",(IF(A17=8064,(K17*21.5/20),(K17*26.5/25))),IF(H17="drum",IF(A17=142,(K17*13/10),K17*28/25))))</f>
        <v>25440</v>
      </c>
      <c r="N17" s="108" t="str">
        <f t="shared" ref="N17:N34" si="2">IF(Q17="","",FIXED(Q17-(O$37/K$35),2,1))</f>
        <v>34.68</v>
      </c>
      <c r="O17" s="93">
        <f t="shared" ref="O17:O34" si="3">IF(K17="","",K17*N17)</f>
        <v>832320</v>
      </c>
      <c r="P17" s="49"/>
      <c r="Q17" s="112">
        <v>35.5</v>
      </c>
      <c r="R17" s="48">
        <v>89.8</v>
      </c>
      <c r="S17" s="73">
        <v>0.03</v>
      </c>
      <c r="T17" s="63">
        <f>(Q17-R17)/R17+S17</f>
        <v>-0.57467706013363029</v>
      </c>
      <c r="U17" s="50">
        <f>Q17*K17*T17</f>
        <v>-489624.85523385298</v>
      </c>
      <c r="V17" s="50">
        <f>Q17*K17</f>
        <v>852000</v>
      </c>
      <c r="Z17" s="109">
        <v>2141</v>
      </c>
      <c r="AA17" s="110" t="s">
        <v>54</v>
      </c>
      <c r="AB17" s="111">
        <v>3500</v>
      </c>
      <c r="AC17" s="112">
        <v>99.76</v>
      </c>
      <c r="AD17" s="110" t="s">
        <v>127</v>
      </c>
    </row>
    <row r="18" spans="1:30" s="50" customFormat="1" ht="30" customHeight="1" thickBot="1" x14ac:dyDescent="0.35">
      <c r="A18" s="68"/>
      <c r="B18" s="290" t="str">
        <f>IF(A18:A35="","",IF(N$4="sys/",VLOOKUP(A18:A35,#REF!,4,FALSE),VLOOKUP(A18:A35,#REF!,4,FALSE)))</f>
        <v/>
      </c>
      <c r="C18" s="291"/>
      <c r="D18" s="292"/>
      <c r="E18" s="293" t="str">
        <f>IF(A18:A35="","",IF(N$4="sys/",VLOOKUP(A18:A35,#REF!,7,FALSE),VLOOKUP(A18:A35,#REF!,7,FALSE)))</f>
        <v/>
      </c>
      <c r="F18" s="294"/>
      <c r="G18" s="90" t="str">
        <f>IF(A18:A35="","",IF(P$4="sys/",VLOOKUP(A18:A35,#REF!,9,FALSE),VLOOKUP(A18:A35,#REF!,9,FALSE)))</f>
        <v/>
      </c>
      <c r="H18" s="107"/>
      <c r="I18" s="90" t="str">
        <f t="shared" ref="I18:I34" si="4">IF(H18="","",IF(H18="carton",1,2))</f>
        <v/>
      </c>
      <c r="J18" s="53" t="str">
        <f>IF(A18:A35="","",IF(N$4="sys/",VLOOKUP(A18:A35,#REF!,8,FALSE),VLOOKUP(A18:A35,#REF!,8,FALSE)))</f>
        <v/>
      </c>
      <c r="K18" s="53"/>
      <c r="L18" s="101">
        <f t="shared" si="0"/>
        <v>0</v>
      </c>
      <c r="M18" s="53" t="str">
        <f t="shared" si="1"/>
        <v/>
      </c>
      <c r="N18" s="53" t="str">
        <f t="shared" si="2"/>
        <v/>
      </c>
      <c r="O18" s="74" t="str">
        <f t="shared" si="3"/>
        <v/>
      </c>
      <c r="P18" s="49"/>
      <c r="Q18" s="112"/>
      <c r="R18" s="48">
        <v>47.7</v>
      </c>
      <c r="S18" s="73">
        <v>0.03</v>
      </c>
      <c r="T18" s="63">
        <f t="shared" ref="T18:T23" si="5">(Q18-R18)/R18+S18</f>
        <v>-0.97</v>
      </c>
      <c r="U18" s="50">
        <f t="shared" ref="U18:U23" si="6">Q18*K18*T18</f>
        <v>0</v>
      </c>
      <c r="V18" s="50">
        <f t="shared" ref="V18:V24" si="7">Q18*K18</f>
        <v>0</v>
      </c>
      <c r="Z18" s="109">
        <v>2551</v>
      </c>
      <c r="AA18" s="110" t="s">
        <v>57</v>
      </c>
      <c r="AB18" s="111">
        <v>3500</v>
      </c>
      <c r="AC18" s="112">
        <v>112.2</v>
      </c>
      <c r="AD18" s="110" t="s">
        <v>128</v>
      </c>
    </row>
    <row r="19" spans="1:30" s="50" customFormat="1" ht="30" customHeight="1" thickBot="1" x14ac:dyDescent="0.35">
      <c r="A19" s="68"/>
      <c r="B19" s="290" t="str">
        <f>IF(A19:A36="","",IF(N$4="sys/",VLOOKUP(A19:A36,#REF!,4,FALSE),VLOOKUP(A19:A36,#REF!,4,FALSE)))</f>
        <v/>
      </c>
      <c r="C19" s="291"/>
      <c r="D19" s="292"/>
      <c r="E19" s="293" t="str">
        <f>IF(A19:A36="","",IF(N$4="sys/",VLOOKUP(A19:A36,#REF!,7,FALSE),VLOOKUP(A19:A36,#REF!,7,FALSE)))</f>
        <v/>
      </c>
      <c r="F19" s="294"/>
      <c r="G19" s="90" t="str">
        <f>IF(A19:A36="","",IF(P$4="sys/",VLOOKUP(A19:A36,#REF!,9,FALSE),VLOOKUP(A19:A36,#REF!,9,FALSE)))</f>
        <v/>
      </c>
      <c r="H19" s="107"/>
      <c r="I19" s="90" t="str">
        <f t="shared" si="4"/>
        <v/>
      </c>
      <c r="J19" s="53" t="str">
        <f>IF(A19:A36="","",IF(N$4="sys/",VLOOKUP(A19:A36,#REF!,8,FALSE),VLOOKUP(A19:A36,#REF!,8,FALSE)))</f>
        <v/>
      </c>
      <c r="K19" s="53"/>
      <c r="L19" s="101">
        <f t="shared" si="0"/>
        <v>0</v>
      </c>
      <c r="M19" s="53" t="str">
        <f t="shared" si="1"/>
        <v/>
      </c>
      <c r="N19" s="53" t="str">
        <f t="shared" si="2"/>
        <v/>
      </c>
      <c r="O19" s="74" t="str">
        <f t="shared" si="3"/>
        <v/>
      </c>
      <c r="P19" s="49"/>
      <c r="Q19" s="112"/>
      <c r="R19" s="48">
        <v>46.08</v>
      </c>
      <c r="S19" s="73">
        <v>0.03</v>
      </c>
      <c r="T19" s="63">
        <f t="shared" si="5"/>
        <v>-0.97</v>
      </c>
      <c r="U19" s="50">
        <f t="shared" si="6"/>
        <v>0</v>
      </c>
      <c r="V19" s="50">
        <f t="shared" si="7"/>
        <v>0</v>
      </c>
      <c r="X19" s="51"/>
      <c r="Z19" s="109">
        <v>2351</v>
      </c>
      <c r="AA19" s="110" t="s">
        <v>56</v>
      </c>
      <c r="AB19" s="111">
        <v>1500</v>
      </c>
      <c r="AC19" s="112">
        <v>91.6</v>
      </c>
      <c r="AD19" s="110" t="s">
        <v>129</v>
      </c>
    </row>
    <row r="20" spans="1:30" s="50" customFormat="1" ht="30" customHeight="1" thickBot="1" x14ac:dyDescent="0.35">
      <c r="A20" s="68"/>
      <c r="B20" s="290" t="str">
        <f>IF(A20:A37="","",IF(N$4="sys/",VLOOKUP(A20:A37,#REF!,4,FALSE),VLOOKUP(A20:A37,#REF!,4,FALSE)))</f>
        <v/>
      </c>
      <c r="C20" s="291"/>
      <c r="D20" s="292"/>
      <c r="E20" s="293" t="str">
        <f>IF(A20:A37="","",IF(N$4="sys/",VLOOKUP(A20:A37,#REF!,7,FALSE),VLOOKUP(A20:A37,#REF!,7,FALSE)))</f>
        <v/>
      </c>
      <c r="F20" s="294"/>
      <c r="G20" s="90" t="str">
        <f>IF(A20:A37="","",IF(P$4="sys/",VLOOKUP(A20:A37,#REF!,9,FALSE),VLOOKUP(A20:A37,#REF!,9,FALSE)))</f>
        <v/>
      </c>
      <c r="H20" s="107"/>
      <c r="I20" s="90" t="str">
        <f t="shared" si="4"/>
        <v/>
      </c>
      <c r="J20" s="53" t="str">
        <f>IF(A20:A37="","",IF(N$4="sys/",VLOOKUP(A20:A37,#REF!,8,FALSE),VLOOKUP(A20:A37,#REF!,8,FALSE)))</f>
        <v/>
      </c>
      <c r="K20" s="53"/>
      <c r="L20" s="101">
        <f t="shared" si="0"/>
        <v>0</v>
      </c>
      <c r="M20" s="53" t="str">
        <f t="shared" si="1"/>
        <v/>
      </c>
      <c r="N20" s="53" t="str">
        <f t="shared" si="2"/>
        <v/>
      </c>
      <c r="O20" s="74" t="str">
        <f t="shared" si="3"/>
        <v/>
      </c>
      <c r="P20" s="49"/>
      <c r="Q20" s="112"/>
      <c r="R20" s="48">
        <v>34</v>
      </c>
      <c r="S20" s="73">
        <v>0.03</v>
      </c>
      <c r="T20" s="63">
        <f t="shared" si="5"/>
        <v>-0.97</v>
      </c>
      <c r="U20" s="50">
        <f t="shared" si="6"/>
        <v>0</v>
      </c>
      <c r="V20" s="50">
        <f t="shared" si="7"/>
        <v>0</v>
      </c>
      <c r="Z20" s="109">
        <v>2993</v>
      </c>
      <c r="AA20" s="110" t="s">
        <v>63</v>
      </c>
      <c r="AB20" s="111">
        <v>2000</v>
      </c>
      <c r="AC20" s="112">
        <v>43.86</v>
      </c>
      <c r="AD20" s="110" t="s">
        <v>130</v>
      </c>
    </row>
    <row r="21" spans="1:30" s="50" customFormat="1" ht="30" customHeight="1" thickBot="1" x14ac:dyDescent="0.35">
      <c r="A21" s="68"/>
      <c r="B21" s="290" t="str">
        <f>IF(A21:A38="","",IF(N$4="sys/",VLOOKUP(A21:A38,#REF!,4,FALSE),VLOOKUP(A21:A38,#REF!,4,FALSE)))</f>
        <v/>
      </c>
      <c r="C21" s="291"/>
      <c r="D21" s="292"/>
      <c r="E21" s="293" t="str">
        <f>IF(A21:A38="","",IF(N$4="sys/",VLOOKUP(A21:A38,#REF!,7,FALSE),VLOOKUP(A21:A38,#REF!,7,FALSE)))</f>
        <v/>
      </c>
      <c r="F21" s="294"/>
      <c r="G21" s="90" t="str">
        <f>IF(A21:A38="","",IF(P$4="sys/",VLOOKUP(A21:A38,#REF!,9,FALSE),VLOOKUP(A21:A38,#REF!,9,FALSE)))</f>
        <v/>
      </c>
      <c r="H21" s="107"/>
      <c r="I21" s="90" t="str">
        <f t="shared" si="4"/>
        <v/>
      </c>
      <c r="J21" s="53" t="str">
        <f>IF(A21:A38="","",IF(N$4="sys/",VLOOKUP(A21:A38,#REF!,8,FALSE),VLOOKUP(A21:A38,#REF!,8,FALSE)))</f>
        <v/>
      </c>
      <c r="K21" s="53"/>
      <c r="L21" s="101">
        <f t="shared" si="0"/>
        <v>0</v>
      </c>
      <c r="M21" s="53" t="str">
        <f t="shared" si="1"/>
        <v/>
      </c>
      <c r="N21" s="53" t="str">
        <f t="shared" si="2"/>
        <v/>
      </c>
      <c r="O21" s="74" t="str">
        <f t="shared" si="3"/>
        <v/>
      </c>
      <c r="P21" s="49"/>
      <c r="Q21" s="112"/>
      <c r="R21" s="48">
        <v>157</v>
      </c>
      <c r="S21" s="73">
        <v>0.03</v>
      </c>
      <c r="T21" s="63">
        <f t="shared" si="5"/>
        <v>-0.97</v>
      </c>
      <c r="U21" s="50">
        <f t="shared" si="6"/>
        <v>0</v>
      </c>
      <c r="V21" s="50">
        <f t="shared" si="7"/>
        <v>0</v>
      </c>
      <c r="X21" s="51"/>
      <c r="Z21" s="109">
        <v>15016</v>
      </c>
      <c r="AA21" s="110" t="s">
        <v>52</v>
      </c>
      <c r="AB21" s="111">
        <v>3500</v>
      </c>
      <c r="AC21" s="112">
        <v>48.65</v>
      </c>
      <c r="AD21" s="110" t="s">
        <v>131</v>
      </c>
    </row>
    <row r="22" spans="1:30" s="50" customFormat="1" ht="30" customHeight="1" thickBot="1" x14ac:dyDescent="0.35">
      <c r="A22" s="68"/>
      <c r="B22" s="290" t="str">
        <f>IF(A22:A39="","",IF(N$4="sys/",VLOOKUP(A22:A39,#REF!,4,FALSE),VLOOKUP(A22:A39,#REF!,4,FALSE)))</f>
        <v/>
      </c>
      <c r="C22" s="291"/>
      <c r="D22" s="292"/>
      <c r="E22" s="293" t="str">
        <f>IF(A22:A39="","",IF(N$4="sys/",VLOOKUP(A22:A39,#REF!,7,FALSE),VLOOKUP(A22:A39,#REF!,7,FALSE)))</f>
        <v/>
      </c>
      <c r="F22" s="294"/>
      <c r="G22" s="90" t="str">
        <f>IF(A22:A39="","",IF(P$4="sys/",VLOOKUP(A22:A39,#REF!,9,FALSE),VLOOKUP(A22:A39,#REF!,9,FALSE)))</f>
        <v/>
      </c>
      <c r="H22" s="107"/>
      <c r="I22" s="90" t="str">
        <f t="shared" si="4"/>
        <v/>
      </c>
      <c r="J22" s="53" t="str">
        <f>IF(A22:A39="","",IF(N$4="sys/",VLOOKUP(A22:A39,#REF!,8,FALSE),VLOOKUP(A22:A39,#REF!,8,FALSE)))</f>
        <v/>
      </c>
      <c r="K22" s="53"/>
      <c r="L22" s="101">
        <f t="shared" si="0"/>
        <v>0</v>
      </c>
      <c r="M22" s="53" t="str">
        <f t="shared" si="1"/>
        <v/>
      </c>
      <c r="N22" s="53" t="str">
        <f t="shared" si="2"/>
        <v/>
      </c>
      <c r="O22" s="74" t="str">
        <f t="shared" si="3"/>
        <v/>
      </c>
      <c r="P22" s="49"/>
      <c r="Q22" s="112"/>
      <c r="R22" s="48">
        <v>54</v>
      </c>
      <c r="S22" s="73">
        <v>0.03</v>
      </c>
      <c r="T22" s="63">
        <f t="shared" si="5"/>
        <v>-0.97</v>
      </c>
      <c r="U22" s="50">
        <f t="shared" si="6"/>
        <v>0</v>
      </c>
      <c r="V22" s="50">
        <f t="shared" si="7"/>
        <v>0</v>
      </c>
      <c r="X22" s="51">
        <f>O44*5.5%</f>
        <v>46866.6</v>
      </c>
      <c r="Z22" s="109">
        <v>2572</v>
      </c>
      <c r="AA22" s="110" t="s">
        <v>61</v>
      </c>
      <c r="AB22" s="111">
        <v>2000</v>
      </c>
      <c r="AC22" s="112">
        <v>47</v>
      </c>
      <c r="AD22" s="110" t="s">
        <v>132</v>
      </c>
    </row>
    <row r="23" spans="1:30" s="50" customFormat="1" ht="30" customHeight="1" thickBot="1" x14ac:dyDescent="0.35">
      <c r="A23" s="68"/>
      <c r="B23" s="290" t="str">
        <f>IF(A23:A40="","",IF(N$4="sys/",VLOOKUP(A23:A40,#REF!,4,FALSE),VLOOKUP(A23:A40,#REF!,4,FALSE)))</f>
        <v/>
      </c>
      <c r="C23" s="291"/>
      <c r="D23" s="292"/>
      <c r="E23" s="293" t="str">
        <f>IF(A23:A40="","",IF(N$4="sys/",VLOOKUP(A23:A40,#REF!,7,FALSE),VLOOKUP(A23:A40,#REF!,7,FALSE)))</f>
        <v/>
      </c>
      <c r="F23" s="294"/>
      <c r="G23" s="90" t="str">
        <f>IF(A23:A40="","",IF(P$4="sys/",VLOOKUP(A23:A40,#REF!,9,FALSE),VLOOKUP(A23:A40,#REF!,9,FALSE)))</f>
        <v/>
      </c>
      <c r="H23" s="107"/>
      <c r="I23" s="90" t="str">
        <f t="shared" si="4"/>
        <v/>
      </c>
      <c r="J23" s="53" t="str">
        <f>IF(A23:A40="","",IF(N$4="sys/",VLOOKUP(A23:A40,#REF!,8,FALSE),VLOOKUP(A23:A40,#REF!,8,FALSE)))</f>
        <v/>
      </c>
      <c r="K23" s="53"/>
      <c r="L23" s="101">
        <f t="shared" si="0"/>
        <v>0</v>
      </c>
      <c r="M23" s="53" t="str">
        <f t="shared" si="1"/>
        <v/>
      </c>
      <c r="N23" s="53" t="str">
        <f t="shared" si="2"/>
        <v/>
      </c>
      <c r="O23" s="74" t="str">
        <f t="shared" si="3"/>
        <v/>
      </c>
      <c r="P23" s="49"/>
      <c r="Q23" s="112"/>
      <c r="R23" s="50">
        <v>51.5</v>
      </c>
      <c r="S23" s="73">
        <v>0.03</v>
      </c>
      <c r="T23" s="63">
        <f t="shared" si="5"/>
        <v>-0.97</v>
      </c>
      <c r="U23" s="50">
        <f t="shared" si="6"/>
        <v>0</v>
      </c>
      <c r="V23" s="50">
        <f t="shared" si="7"/>
        <v>0</v>
      </c>
      <c r="X23" s="51" t="e">
        <f>U35-X22</f>
        <v>#DIV/0!</v>
      </c>
      <c r="Z23" s="109">
        <v>2811</v>
      </c>
      <c r="AA23" s="110" t="s">
        <v>55</v>
      </c>
      <c r="AB23" s="111">
        <v>4500</v>
      </c>
      <c r="AC23" s="112">
        <v>34.68</v>
      </c>
      <c r="AD23" s="110" t="s">
        <v>133</v>
      </c>
    </row>
    <row r="24" spans="1:30" s="50" customFormat="1" ht="30" customHeight="1" thickBot="1" x14ac:dyDescent="0.35">
      <c r="A24" s="68"/>
      <c r="B24" s="290" t="str">
        <f>IF(A24:A41="","",IF(N$4="sys/",VLOOKUP(A24:A41,#REF!,4,FALSE),VLOOKUP(A24:A41,#REF!,4,FALSE)))</f>
        <v/>
      </c>
      <c r="C24" s="291"/>
      <c r="D24" s="292"/>
      <c r="E24" s="293" t="str">
        <f>IF(A24:A41="","",IF(N$4="sys/",VLOOKUP(A24:A41,#REF!,7,FALSE),VLOOKUP(A24:A41,#REF!,7,FALSE)))</f>
        <v/>
      </c>
      <c r="F24" s="294"/>
      <c r="G24" s="90" t="str">
        <f>IF(A24:A41="","",IF(P$4="sys/",VLOOKUP(A24:A41,#REF!,9,FALSE),VLOOKUP(A24:A41,#REF!,9,FALSE)))</f>
        <v/>
      </c>
      <c r="H24" s="107"/>
      <c r="I24" s="90" t="str">
        <f t="shared" si="4"/>
        <v/>
      </c>
      <c r="J24" s="53" t="str">
        <f>IF(A24:A41="","",IF(N$4="sys/",VLOOKUP(A24:A41,#REF!,8,FALSE),VLOOKUP(A24:A41,#REF!,8,FALSE)))</f>
        <v/>
      </c>
      <c r="K24" s="53"/>
      <c r="L24" s="101">
        <f t="shared" si="0"/>
        <v>0</v>
      </c>
      <c r="M24" s="53" t="str">
        <f t="shared" si="1"/>
        <v/>
      </c>
      <c r="N24" s="53" t="str">
        <f t="shared" si="2"/>
        <v/>
      </c>
      <c r="O24" s="74" t="str">
        <f t="shared" si="3"/>
        <v/>
      </c>
      <c r="P24" s="49"/>
      <c r="Q24" s="112"/>
      <c r="S24" s="73"/>
      <c r="T24" s="63"/>
      <c r="V24" s="50">
        <f t="shared" si="7"/>
        <v>0</v>
      </c>
      <c r="X24" s="51"/>
      <c r="Z24" s="109">
        <v>2652</v>
      </c>
      <c r="AA24" s="110" t="s">
        <v>60</v>
      </c>
      <c r="AB24" s="111">
        <v>3000</v>
      </c>
      <c r="AC24" s="112">
        <v>160.13999999999999</v>
      </c>
      <c r="AD24" s="110" t="s">
        <v>134</v>
      </c>
    </row>
    <row r="25" spans="1:30" s="50" customFormat="1" ht="30" customHeight="1" thickBot="1" x14ac:dyDescent="0.35">
      <c r="A25" s="68"/>
      <c r="B25" s="290" t="str">
        <f>IF(A25:A42="","",IF(N$4="sys/",VLOOKUP(A25:A42,#REF!,4,FALSE),VLOOKUP(A25:A42,#REF!,4,FALSE)))</f>
        <v/>
      </c>
      <c r="C25" s="291"/>
      <c r="D25" s="292"/>
      <c r="E25" s="293" t="str">
        <f>IF(A25:A42="","",IF(N$4="sys/",VLOOKUP(A25:A42,#REF!,7,FALSE),VLOOKUP(A25:A42,#REF!,7,FALSE)))</f>
        <v/>
      </c>
      <c r="F25" s="294"/>
      <c r="G25" s="90" t="str">
        <f>IF(A25:A42="","",IF(P$4="sys/",VLOOKUP(A25:A42,#REF!,9,FALSE),VLOOKUP(A25:A42,#REF!,9,FALSE)))</f>
        <v/>
      </c>
      <c r="H25" s="107"/>
      <c r="I25" s="90" t="str">
        <f t="shared" si="4"/>
        <v/>
      </c>
      <c r="J25" s="53" t="str">
        <f>IF(A25:A42="","",IF(N$4="sys/",VLOOKUP(A25:A42,#REF!,8,FALSE),VLOOKUP(A25:A42,#REF!,8,FALSE)))</f>
        <v/>
      </c>
      <c r="K25" s="53"/>
      <c r="L25" s="101">
        <f t="shared" si="0"/>
        <v>0</v>
      </c>
      <c r="M25" s="53" t="str">
        <f t="shared" si="1"/>
        <v/>
      </c>
      <c r="N25" s="53" t="str">
        <f t="shared" si="2"/>
        <v/>
      </c>
      <c r="O25" s="74" t="str">
        <f t="shared" si="3"/>
        <v/>
      </c>
      <c r="P25" s="49"/>
      <c r="Q25" s="112"/>
      <c r="S25" s="73"/>
      <c r="T25" s="63" t="e">
        <f>(Q24-R25)/R25+S25</f>
        <v>#DIV/0!</v>
      </c>
      <c r="U25" s="50" t="e">
        <f>Q24*K24*T25</f>
        <v>#DIV/0!</v>
      </c>
      <c r="V25" s="50">
        <f>Q24*K24</f>
        <v>0</v>
      </c>
      <c r="X25" s="51"/>
      <c r="Z25" s="109">
        <v>2472</v>
      </c>
      <c r="AA25" s="110" t="s">
        <v>59</v>
      </c>
      <c r="AB25" s="111">
        <v>1000</v>
      </c>
      <c r="AC25" s="112">
        <v>56.61</v>
      </c>
      <c r="AD25" s="110" t="s">
        <v>135</v>
      </c>
    </row>
    <row r="26" spans="1:30" s="50" customFormat="1" ht="30.75" customHeight="1" thickBot="1" x14ac:dyDescent="0.35">
      <c r="A26" s="68"/>
      <c r="B26" s="290" t="str">
        <f>IF(A26:A43="","",IF(N$4="sys/",VLOOKUP(A26:A43,#REF!,4,FALSE),VLOOKUP(A26:A43,#REF!,4,FALSE)))</f>
        <v/>
      </c>
      <c r="C26" s="291"/>
      <c r="D26" s="292"/>
      <c r="E26" s="293" t="str">
        <f>IF(A26:A43="","",IF(N$4="sys/",VLOOKUP(A26:A43,#REF!,7,FALSE),VLOOKUP(A26:A43,#REF!,7,FALSE)))</f>
        <v/>
      </c>
      <c r="F26" s="294"/>
      <c r="G26" s="90" t="str">
        <f>IF(A26:A43="","",IF(P$4="sys/",VLOOKUP(A26:A43,#REF!,9,FALSE),VLOOKUP(A26:A43,#REF!,9,FALSE)))</f>
        <v/>
      </c>
      <c r="H26" s="107"/>
      <c r="I26" s="90" t="str">
        <f t="shared" si="4"/>
        <v/>
      </c>
      <c r="J26" s="53" t="str">
        <f>IF(A26:A43="","",IF(N$4="sys/",VLOOKUP(A26:A43,#REF!,8,FALSE),VLOOKUP(A26:A43,#REF!,8,FALSE)))</f>
        <v/>
      </c>
      <c r="K26" s="53"/>
      <c r="L26" s="101">
        <f t="shared" si="0"/>
        <v>0</v>
      </c>
      <c r="M26" s="53" t="str">
        <f t="shared" si="1"/>
        <v/>
      </c>
      <c r="N26" s="53" t="str">
        <f t="shared" si="2"/>
        <v/>
      </c>
      <c r="O26" s="74" t="str">
        <f t="shared" si="3"/>
        <v/>
      </c>
      <c r="P26" s="49"/>
      <c r="Q26" s="112"/>
      <c r="S26" s="73"/>
      <c r="T26" s="63" t="e">
        <f>(Q25-R26)/R26+S26</f>
        <v>#DIV/0!</v>
      </c>
      <c r="U26" s="50" t="e">
        <f>Q25*K25*T26</f>
        <v>#DIV/0!</v>
      </c>
      <c r="X26" s="51"/>
      <c r="Z26" s="109">
        <v>2392</v>
      </c>
      <c r="AA26" s="110" t="s">
        <v>58</v>
      </c>
      <c r="AB26" s="111">
        <v>3500</v>
      </c>
      <c r="AC26" s="112">
        <v>55.08</v>
      </c>
      <c r="AD26" s="110" t="s">
        <v>136</v>
      </c>
    </row>
    <row r="27" spans="1:30" s="50" customFormat="1" ht="30" customHeight="1" thickBot="1" x14ac:dyDescent="0.35">
      <c r="A27" s="68"/>
      <c r="B27" s="290" t="str">
        <f>IF(A27:A44="","",IF(N$4="sys/",VLOOKUP(A27:A44,#REF!,4,FALSE),VLOOKUP(A27:A44,#REF!,4,FALSE)))</f>
        <v/>
      </c>
      <c r="C27" s="291"/>
      <c r="D27" s="292"/>
      <c r="E27" s="293" t="str">
        <f>IF(A27:A44="","",IF(N$4="sys/",VLOOKUP(A27:A44,#REF!,7,FALSE),VLOOKUP(A27:A44,#REF!,7,FALSE)))</f>
        <v/>
      </c>
      <c r="F27" s="294"/>
      <c r="G27" s="90" t="str">
        <f>IF(A27:A44="","",IF(P$4="sys/",VLOOKUP(A27:A44,#REF!,9,FALSE),VLOOKUP(A27:A44,#REF!,9,FALSE)))</f>
        <v/>
      </c>
      <c r="H27" s="107"/>
      <c r="I27" s="90" t="str">
        <f t="shared" si="4"/>
        <v/>
      </c>
      <c r="J27" s="53" t="str">
        <f>IF(A27:A44="","",IF(N$4="sys/",VLOOKUP(A27:A44,#REF!,8,FALSE),VLOOKUP(A27:A44,#REF!,8,FALSE)))</f>
        <v/>
      </c>
      <c r="K27" s="53"/>
      <c r="L27" s="101">
        <f t="shared" si="0"/>
        <v>0</v>
      </c>
      <c r="M27" s="53" t="str">
        <f t="shared" si="1"/>
        <v/>
      </c>
      <c r="N27" s="53" t="str">
        <f t="shared" si="2"/>
        <v/>
      </c>
      <c r="O27" s="74" t="str">
        <f t="shared" si="3"/>
        <v/>
      </c>
      <c r="P27" s="49"/>
      <c r="S27" s="73"/>
      <c r="T27" s="63" t="e">
        <f>(Q26-R27)/R27+S27</f>
        <v>#DIV/0!</v>
      </c>
      <c r="U27" s="50" t="e">
        <f>Q26*K27*T27</f>
        <v>#DIV/0!</v>
      </c>
      <c r="X27" s="51"/>
      <c r="Z27" s="109">
        <v>2383</v>
      </c>
      <c r="AA27" s="110" t="s">
        <v>64</v>
      </c>
      <c r="AB27" s="111">
        <v>4000</v>
      </c>
      <c r="AC27" s="112">
        <v>52.53</v>
      </c>
      <c r="AD27" s="110" t="s">
        <v>137</v>
      </c>
    </row>
    <row r="28" spans="1:30" s="50" customFormat="1" ht="30" customHeight="1" thickBot="1" x14ac:dyDescent="0.35">
      <c r="A28" s="68"/>
      <c r="B28" s="290" t="str">
        <f>IF(A28:A45="","",IF(N$4="sys/",VLOOKUP(A28:A45,#REF!,4,FALSE),VLOOKUP(A28:A45,#REF!,4,FALSE)))</f>
        <v/>
      </c>
      <c r="C28" s="291"/>
      <c r="D28" s="292"/>
      <c r="E28" s="293" t="str">
        <f>IF(A28:A45="","",IF(N$4="sys/",VLOOKUP(A28:A45,#REF!,7,FALSE),VLOOKUP(A28:A45,#REF!,7,FALSE)))</f>
        <v/>
      </c>
      <c r="F28" s="294"/>
      <c r="G28" s="90" t="str">
        <f>IF(A28:A45="","",IF(P$4="sys/",VLOOKUP(A28:A45,#REF!,9,FALSE),VLOOKUP(A28:A45,#REF!,9,FALSE)))</f>
        <v/>
      </c>
      <c r="H28" s="107"/>
      <c r="I28" s="90" t="str">
        <f t="shared" si="4"/>
        <v/>
      </c>
      <c r="J28" s="53" t="str">
        <f>IF(A28:A45="","",IF(N$4="sys/",VLOOKUP(A28:A45,#REF!,8,FALSE),VLOOKUP(A28:A45,#REF!,8,FALSE)))</f>
        <v/>
      </c>
      <c r="K28" s="53"/>
      <c r="L28" s="101">
        <f t="shared" si="0"/>
        <v>0</v>
      </c>
      <c r="M28" s="53" t="str">
        <f t="shared" si="1"/>
        <v/>
      </c>
      <c r="N28" s="53" t="str">
        <f t="shared" si="2"/>
        <v/>
      </c>
      <c r="O28" s="74" t="str">
        <f t="shared" si="3"/>
        <v/>
      </c>
      <c r="P28" s="49"/>
      <c r="Q28" s="76"/>
      <c r="T28" s="63"/>
      <c r="X28" s="51"/>
    </row>
    <row r="29" spans="1:30" s="50" customFormat="1" ht="30" customHeight="1" thickBot="1" x14ac:dyDescent="0.35">
      <c r="A29" s="68"/>
      <c r="B29" s="290" t="str">
        <f>IF(A29:A46="","",IF(N$4="sys/",VLOOKUP(A29:A46,#REF!,4,FALSE),VLOOKUP(A29:A46,#REF!,4,FALSE)))</f>
        <v/>
      </c>
      <c r="C29" s="291"/>
      <c r="D29" s="292"/>
      <c r="E29" s="293" t="str">
        <f>IF(A29:A46="","",IF(N$4="sys/",VLOOKUP(A29:A46,#REF!,7,FALSE),VLOOKUP(A29:A46,#REF!,7,FALSE)))</f>
        <v/>
      </c>
      <c r="F29" s="294"/>
      <c r="G29" s="90" t="str">
        <f>IF(A29:A46="","",IF(P$4="sys/",VLOOKUP(A29:A46,#REF!,9,FALSE),VLOOKUP(A29:A46,#REF!,9,FALSE)))</f>
        <v/>
      </c>
      <c r="H29" s="107"/>
      <c r="I29" s="90" t="str">
        <f t="shared" si="4"/>
        <v/>
      </c>
      <c r="J29" s="53" t="str">
        <f>IF(A29:A46="","",IF(N$4="sys/",VLOOKUP(A29:A46,#REF!,8,FALSE),VLOOKUP(A29:A46,#REF!,8,FALSE)))</f>
        <v/>
      </c>
      <c r="K29" s="53"/>
      <c r="L29" s="101">
        <f t="shared" si="0"/>
        <v>0</v>
      </c>
      <c r="M29" s="53" t="str">
        <f t="shared" si="1"/>
        <v/>
      </c>
      <c r="N29" s="53" t="str">
        <f t="shared" si="2"/>
        <v/>
      </c>
      <c r="O29" s="74" t="str">
        <f t="shared" si="3"/>
        <v/>
      </c>
      <c r="P29" s="49"/>
      <c r="Q29" s="76"/>
      <c r="T29" s="63"/>
      <c r="X29" s="51"/>
    </row>
    <row r="30" spans="1:30" s="50" customFormat="1" ht="30" customHeight="1" thickBot="1" x14ac:dyDescent="0.35">
      <c r="A30" s="68"/>
      <c r="B30" s="290" t="str">
        <f>IF(A30:A47="","",IF(N$4="sys/",VLOOKUP(A30:A47,#REF!,4,FALSE),VLOOKUP(A30:A47,#REF!,4,FALSE)))</f>
        <v/>
      </c>
      <c r="C30" s="291"/>
      <c r="D30" s="292"/>
      <c r="E30" s="293" t="str">
        <f>IF(A30:A47="","",IF(N$4="sys/",VLOOKUP(A30:A47,#REF!,7,FALSE),VLOOKUP(A30:A47,#REF!,7,FALSE)))</f>
        <v/>
      </c>
      <c r="F30" s="294"/>
      <c r="G30" s="90" t="str">
        <f>IF(A30:A47="","",IF(P$4="sys/",VLOOKUP(A30:A47,#REF!,9,FALSE),VLOOKUP(A30:A47,#REF!,9,FALSE)))</f>
        <v/>
      </c>
      <c r="H30" s="107"/>
      <c r="I30" s="90" t="str">
        <f t="shared" si="4"/>
        <v/>
      </c>
      <c r="J30" s="53" t="str">
        <f>IF(A30:A47="","",IF(N$4="sys/",VLOOKUP(A30:A47,#REF!,8,FALSE),VLOOKUP(A30:A47,#REF!,8,FALSE)))</f>
        <v/>
      </c>
      <c r="K30" s="53"/>
      <c r="L30" s="101">
        <f t="shared" si="0"/>
        <v>0</v>
      </c>
      <c r="M30" s="53" t="str">
        <f t="shared" si="1"/>
        <v/>
      </c>
      <c r="N30" s="53" t="str">
        <f t="shared" si="2"/>
        <v/>
      </c>
      <c r="O30" s="74" t="str">
        <f t="shared" si="3"/>
        <v/>
      </c>
      <c r="P30" s="49"/>
      <c r="Q30" s="76"/>
      <c r="T30" s="63"/>
      <c r="X30" s="51"/>
    </row>
    <row r="31" spans="1:30" s="50" customFormat="1" ht="30" customHeight="1" thickBot="1" x14ac:dyDescent="0.35">
      <c r="A31" s="68"/>
      <c r="B31" s="290" t="str">
        <f>IF(A31:A48="","",IF(N$4="sys/",VLOOKUP(A31:A48,#REF!,4,FALSE),VLOOKUP(A31:A48,#REF!,4,FALSE)))</f>
        <v/>
      </c>
      <c r="C31" s="291"/>
      <c r="D31" s="292"/>
      <c r="E31" s="293" t="str">
        <f>IF(A31:A48="","",IF(N$4="sys/",VLOOKUP(A31:A48,#REF!,7,FALSE),VLOOKUP(A31:A48,#REF!,7,FALSE)))</f>
        <v/>
      </c>
      <c r="F31" s="294"/>
      <c r="G31" s="90" t="str">
        <f>IF(A31:A48="","",IF(P$4="sys/",VLOOKUP(A31:A48,#REF!,9,FALSE),VLOOKUP(A31:A48,#REF!,9,FALSE)))</f>
        <v/>
      </c>
      <c r="H31" s="107"/>
      <c r="I31" s="90" t="str">
        <f t="shared" si="4"/>
        <v/>
      </c>
      <c r="J31" s="53" t="str">
        <f>IF(A31:A48="","",IF(N$4="sys/",VLOOKUP(A31:A48,#REF!,8,FALSE),VLOOKUP(A31:A48,#REF!,8,FALSE)))</f>
        <v/>
      </c>
      <c r="K31" s="53"/>
      <c r="L31" s="101">
        <f t="shared" si="0"/>
        <v>0</v>
      </c>
      <c r="M31" s="53" t="str">
        <f t="shared" si="1"/>
        <v/>
      </c>
      <c r="N31" s="53" t="str">
        <f t="shared" si="2"/>
        <v/>
      </c>
      <c r="O31" s="74" t="str">
        <f t="shared" si="3"/>
        <v/>
      </c>
      <c r="P31" s="49"/>
      <c r="Q31" s="76"/>
      <c r="T31" s="63"/>
      <c r="X31" s="51"/>
    </row>
    <row r="32" spans="1:30" s="50" customFormat="1" ht="30" customHeight="1" thickBot="1" x14ac:dyDescent="0.35">
      <c r="A32" s="68"/>
      <c r="B32" s="290" t="str">
        <f>IF(A32:A49="","",IF(N$4="sys/",VLOOKUP(A32:A49,#REF!,4,FALSE),VLOOKUP(A32:A49,#REF!,4,FALSE)))</f>
        <v/>
      </c>
      <c r="C32" s="291"/>
      <c r="D32" s="292"/>
      <c r="E32" s="293" t="str">
        <f>IF(A32:A49="","",IF(N$4="sys/",VLOOKUP(A32:A49,#REF!,7,FALSE),VLOOKUP(A32:A49,#REF!,7,FALSE)))</f>
        <v/>
      </c>
      <c r="F32" s="294"/>
      <c r="G32" s="90" t="str">
        <f>IF(A32:A49="","",IF(P$4="sys/",VLOOKUP(A32:A49,#REF!,9,FALSE),VLOOKUP(A32:A49,#REF!,9,FALSE)))</f>
        <v/>
      </c>
      <c r="H32" s="107"/>
      <c r="I32" s="90" t="str">
        <f t="shared" si="4"/>
        <v/>
      </c>
      <c r="J32" s="53" t="str">
        <f>IF(A32:A49="","",IF(N$4="sys/",VLOOKUP(A32:A49,#REF!,8,FALSE),VLOOKUP(A32:A49,#REF!,8,FALSE)))</f>
        <v/>
      </c>
      <c r="K32" s="53"/>
      <c r="L32" s="101">
        <f t="shared" si="0"/>
        <v>0</v>
      </c>
      <c r="M32" s="53" t="str">
        <f t="shared" si="1"/>
        <v/>
      </c>
      <c r="N32" s="53" t="str">
        <f t="shared" si="2"/>
        <v/>
      </c>
      <c r="O32" s="74" t="str">
        <f t="shared" si="3"/>
        <v/>
      </c>
      <c r="P32" s="49"/>
      <c r="Q32" s="76"/>
      <c r="T32" s="63"/>
      <c r="X32" s="51"/>
    </row>
    <row r="33" spans="1:24" s="50" customFormat="1" ht="30" customHeight="1" thickBot="1" x14ac:dyDescent="0.35">
      <c r="A33" s="68"/>
      <c r="B33" s="290" t="str">
        <f>IF(A33:A50="","",IF(N$4="sys/",VLOOKUP(A33:A50,#REF!,4,FALSE),VLOOKUP(A33:A50,#REF!,4,FALSE)))</f>
        <v/>
      </c>
      <c r="C33" s="291"/>
      <c r="D33" s="292"/>
      <c r="E33" s="293" t="str">
        <f>IF(A33:A50="","",IF(N$4="sys/",VLOOKUP(A33:A50,#REF!,7,FALSE),VLOOKUP(A33:A50,#REF!,7,FALSE)))</f>
        <v/>
      </c>
      <c r="F33" s="294"/>
      <c r="G33" s="90" t="str">
        <f>IF(A33:A50="","",IF(P$4="sys/",VLOOKUP(A33:A50,#REF!,9,FALSE),VLOOKUP(A33:A50,#REF!,9,FALSE)))</f>
        <v/>
      </c>
      <c r="H33" s="107"/>
      <c r="I33" s="90" t="str">
        <f t="shared" si="4"/>
        <v/>
      </c>
      <c r="J33" s="53" t="str">
        <f>IF(A33:A50="","",IF(N$4="sys/",VLOOKUP(A33:A50,#REF!,8,FALSE),VLOOKUP(A33:A50,#REF!,8,FALSE)))</f>
        <v/>
      </c>
      <c r="K33" s="53"/>
      <c r="L33" s="101">
        <f t="shared" si="0"/>
        <v>0</v>
      </c>
      <c r="M33" s="53" t="str">
        <f t="shared" si="1"/>
        <v/>
      </c>
      <c r="N33" s="53" t="str">
        <f t="shared" si="2"/>
        <v/>
      </c>
      <c r="O33" s="74" t="str">
        <f t="shared" si="3"/>
        <v/>
      </c>
      <c r="P33" s="49"/>
      <c r="Q33" s="76"/>
      <c r="T33" s="63"/>
      <c r="X33" s="51"/>
    </row>
    <row r="34" spans="1:24" s="50" customFormat="1" ht="30" customHeight="1" thickBot="1" x14ac:dyDescent="0.35">
      <c r="A34" s="68"/>
      <c r="B34" s="290" t="str">
        <f>IF(A34:A51="","",IF(N$4="sys/",VLOOKUP(A34:A51,#REF!,4,FALSE),VLOOKUP(A34:A51,#REF!,4,FALSE)))</f>
        <v/>
      </c>
      <c r="C34" s="291"/>
      <c r="D34" s="292"/>
      <c r="E34" s="293" t="str">
        <f>IF(A34:A51="","",IF(N$4="sys/",VLOOKUP(A34:A51,#REF!,7,FALSE),VLOOKUP(A34:A51,#REF!,7,FALSE)))</f>
        <v/>
      </c>
      <c r="F34" s="294"/>
      <c r="G34" s="90" t="str">
        <f>IF(A34:A51="","",IF(P$4="sys/",VLOOKUP(A34:A51,#REF!,9,FALSE),VLOOKUP(A34:A51,#REF!,9,FALSE)))</f>
        <v/>
      </c>
      <c r="H34" s="107"/>
      <c r="I34" s="90" t="str">
        <f t="shared" si="4"/>
        <v/>
      </c>
      <c r="J34" s="53" t="str">
        <f>IF(A34:A51="","",IF(N$4="sys/",VLOOKUP(A34:A51,#REF!,8,FALSE),VLOOKUP(A34:A51,#REF!,8,FALSE)))</f>
        <v/>
      </c>
      <c r="K34" s="53"/>
      <c r="L34" s="101">
        <f t="shared" si="0"/>
        <v>0</v>
      </c>
      <c r="M34" s="53" t="str">
        <f t="shared" si="1"/>
        <v/>
      </c>
      <c r="N34" s="53" t="str">
        <f t="shared" si="2"/>
        <v/>
      </c>
      <c r="O34" s="74" t="str">
        <f t="shared" si="3"/>
        <v/>
      </c>
      <c r="P34" s="49"/>
      <c r="Q34" s="76"/>
      <c r="T34" s="63"/>
      <c r="X34" s="51"/>
    </row>
    <row r="35" spans="1:24" ht="17.25" thickBot="1" x14ac:dyDescent="0.35">
      <c r="A35" s="97" t="s">
        <v>5</v>
      </c>
      <c r="B35" s="98"/>
      <c r="C35" s="98"/>
      <c r="D35" s="98"/>
      <c r="E35" s="98"/>
      <c r="F35" s="98"/>
      <c r="G35" s="98"/>
      <c r="H35" s="98"/>
      <c r="I35" s="98">
        <f>AVERAGE(I17:I34)</f>
        <v>1</v>
      </c>
      <c r="J35" s="98"/>
      <c r="K35" s="99">
        <f>SUM(K17:K34)</f>
        <v>24000</v>
      </c>
      <c r="L35" s="99"/>
      <c r="M35" s="99">
        <f>SUM(M17:M34)</f>
        <v>25440</v>
      </c>
      <c r="N35" s="99"/>
      <c r="O35" s="100">
        <f>SUM(O17:O34)</f>
        <v>832320</v>
      </c>
      <c r="Q35" t="s">
        <v>125</v>
      </c>
      <c r="R35" s="76"/>
      <c r="S35" s="76"/>
      <c r="T35" s="76"/>
      <c r="U35" t="e">
        <f>SUM(U17:U28)</f>
        <v>#DIV/0!</v>
      </c>
      <c r="X35" s="47" t="e">
        <f>U35/O44</f>
        <v>#DIV/0!</v>
      </c>
    </row>
    <row r="36" spans="1:24" ht="21" x14ac:dyDescent="0.3">
      <c r="A36" s="286" t="s">
        <v>37</v>
      </c>
      <c r="B36" s="287"/>
      <c r="C36" s="271" t="s">
        <v>40</v>
      </c>
      <c r="D36" s="271"/>
      <c r="E36" s="6"/>
      <c r="F36" s="6"/>
      <c r="G36" s="6"/>
      <c r="H36" s="6"/>
      <c r="I36" s="6"/>
      <c r="J36" s="6"/>
      <c r="K36" s="6"/>
      <c r="L36" s="6"/>
      <c r="M36" s="295" t="s">
        <v>21</v>
      </c>
      <c r="N36" s="296"/>
      <c r="O36" s="57">
        <f>O35</f>
        <v>832320</v>
      </c>
      <c r="T36" s="46"/>
      <c r="X36" s="47"/>
    </row>
    <row r="37" spans="1:24" ht="18.75" x14ac:dyDescent="0.3">
      <c r="A37" s="286" t="s">
        <v>38</v>
      </c>
      <c r="B37" s="287"/>
      <c r="C37" s="271" t="s">
        <v>139</v>
      </c>
      <c r="D37" s="271"/>
      <c r="E37" s="6"/>
      <c r="F37" s="6"/>
      <c r="G37" s="6"/>
      <c r="H37" s="6"/>
      <c r="I37" s="6"/>
      <c r="J37" s="6"/>
      <c r="K37" s="6"/>
      <c r="L37" s="6"/>
      <c r="M37" s="288" t="s">
        <v>22</v>
      </c>
      <c r="N37" s="289"/>
      <c r="O37" s="56">
        <f>(T14*Y13+U14*Y14)*V14</f>
        <v>19800</v>
      </c>
      <c r="T37" s="47"/>
      <c r="X37" s="47"/>
    </row>
    <row r="38" spans="1:24" ht="16.5" customHeight="1" x14ac:dyDescent="0.3">
      <c r="A38" s="12" t="s">
        <v>46</v>
      </c>
      <c r="B38" s="6"/>
      <c r="C38" s="44" t="s">
        <v>28</v>
      </c>
      <c r="D38" s="6"/>
      <c r="E38" s="6"/>
      <c r="F38" s="6"/>
      <c r="G38" s="6"/>
      <c r="H38" s="6"/>
      <c r="I38" s="6"/>
      <c r="J38" s="6"/>
      <c r="K38" s="6"/>
      <c r="L38" s="6"/>
      <c r="M38" s="276" t="s">
        <v>26</v>
      </c>
      <c r="N38" s="277"/>
      <c r="O38" s="55">
        <v>0</v>
      </c>
      <c r="U38" s="69" t="s">
        <v>82</v>
      </c>
    </row>
    <row r="39" spans="1:24" ht="16.5" customHeight="1" x14ac:dyDescent="0.3">
      <c r="A39" s="15" t="str">
        <f>IF(B1=X1,Z3,AA3)</f>
        <v>PAYEE:SINOCHEM TIANJIN CO., LTD</v>
      </c>
      <c r="B39" s="6"/>
      <c r="C39" s="6"/>
      <c r="D39" s="6"/>
      <c r="E39" s="6"/>
      <c r="F39" s="6"/>
      <c r="G39" s="6"/>
      <c r="H39" s="6"/>
      <c r="I39" s="6"/>
      <c r="J39" s="6"/>
      <c r="K39" s="6"/>
      <c r="L39" s="6"/>
      <c r="M39" s="276" t="s">
        <v>27</v>
      </c>
      <c r="N39" s="277"/>
      <c r="O39" s="55">
        <v>0</v>
      </c>
    </row>
    <row r="40" spans="1:24" ht="16.5" customHeight="1" x14ac:dyDescent="0.3">
      <c r="A40" s="16" t="s">
        <v>13</v>
      </c>
      <c r="B40" s="6"/>
      <c r="C40" s="6"/>
      <c r="D40" s="6"/>
      <c r="E40" s="6"/>
      <c r="F40" s="6"/>
      <c r="G40" s="6"/>
      <c r="H40" s="6"/>
      <c r="I40" s="6"/>
      <c r="J40" s="6"/>
      <c r="K40" s="6"/>
      <c r="L40" s="6"/>
      <c r="M40" s="6"/>
      <c r="N40" s="6"/>
      <c r="O40" s="55">
        <v>0</v>
      </c>
    </row>
    <row r="41" spans="1:24" ht="16.5" customHeight="1" x14ac:dyDescent="0.3">
      <c r="A41" s="16" t="s">
        <v>14</v>
      </c>
      <c r="B41" s="6"/>
      <c r="C41" s="6"/>
      <c r="D41" s="6"/>
      <c r="E41" s="6"/>
      <c r="F41" s="6"/>
      <c r="G41" s="6"/>
      <c r="H41" s="6"/>
      <c r="I41" s="6"/>
      <c r="J41" s="6"/>
      <c r="K41" s="6"/>
      <c r="L41" s="6"/>
      <c r="M41" s="6"/>
      <c r="N41" s="6"/>
      <c r="O41" s="55">
        <v>0</v>
      </c>
    </row>
    <row r="42" spans="1:24" ht="16.5" customHeight="1" x14ac:dyDescent="0.3">
      <c r="A42" s="16" t="s">
        <v>15</v>
      </c>
      <c r="B42" s="6"/>
      <c r="C42" s="6"/>
      <c r="D42" s="6"/>
      <c r="E42" s="6"/>
      <c r="F42" s="6"/>
      <c r="G42" s="6"/>
      <c r="H42" s="6"/>
      <c r="I42" s="6"/>
      <c r="J42" s="6"/>
      <c r="K42" s="6"/>
      <c r="L42" s="6"/>
      <c r="M42" s="6"/>
      <c r="N42" s="6"/>
      <c r="O42" s="55">
        <v>0</v>
      </c>
    </row>
    <row r="43" spans="1:24" ht="16.5" customHeight="1" x14ac:dyDescent="0.3">
      <c r="A43" s="16" t="s">
        <v>16</v>
      </c>
      <c r="B43" s="6"/>
      <c r="C43" s="6"/>
      <c r="D43" s="6"/>
      <c r="E43" s="6"/>
      <c r="F43" s="6"/>
      <c r="G43" s="6"/>
      <c r="H43" s="6"/>
      <c r="I43" s="6"/>
      <c r="J43" s="6"/>
      <c r="K43" s="6"/>
      <c r="L43" s="6"/>
      <c r="M43" s="6"/>
      <c r="N43" s="6"/>
      <c r="O43" s="55">
        <v>0</v>
      </c>
      <c r="Q43" s="72">
        <v>426655.25</v>
      </c>
    </row>
    <row r="44" spans="1:24" ht="21.75" thickBot="1" x14ac:dyDescent="0.4">
      <c r="A44" s="16" t="str">
        <f>IF(B1=X1,Z2,AA2)</f>
        <v>ACCOUNT NUMBER:10002000096220000016</v>
      </c>
      <c r="B44" s="1"/>
      <c r="C44" s="1"/>
      <c r="D44" s="1"/>
      <c r="E44" s="1"/>
      <c r="F44" s="1"/>
      <c r="G44" s="1"/>
      <c r="H44" s="1"/>
      <c r="I44" s="1"/>
      <c r="J44" s="1"/>
      <c r="K44" s="1"/>
      <c r="L44" s="1"/>
      <c r="M44" s="278" t="s">
        <v>25</v>
      </c>
      <c r="N44" s="279"/>
      <c r="O44" s="54">
        <f>SUM(O36+O37)</f>
        <v>852120</v>
      </c>
    </row>
    <row r="45" spans="1:24" ht="18.75" thickBot="1" x14ac:dyDescent="0.35">
      <c r="A45" s="280" t="s">
        <v>83</v>
      </c>
      <c r="B45" s="281"/>
      <c r="C45" s="282" t="e">
        <f ca="1">SpellNumber(O44)</f>
        <v>#NAME?</v>
      </c>
      <c r="D45" s="282"/>
      <c r="E45" s="282"/>
      <c r="F45" s="282"/>
      <c r="G45" s="282"/>
      <c r="H45" s="282"/>
      <c r="I45" s="282"/>
      <c r="J45" s="282"/>
      <c r="K45" s="283"/>
      <c r="L45" s="103"/>
      <c r="M45" s="1"/>
      <c r="N45" s="1"/>
      <c r="O45" s="45" t="s">
        <v>51</v>
      </c>
    </row>
    <row r="46" spans="1:24" x14ac:dyDescent="0.3">
      <c r="A46" s="284"/>
      <c r="B46" s="285"/>
      <c r="C46" s="285"/>
      <c r="D46" s="285"/>
      <c r="E46" s="285"/>
      <c r="F46" s="285"/>
      <c r="G46" s="285"/>
      <c r="H46" s="285"/>
      <c r="I46" s="285"/>
      <c r="J46" s="285"/>
      <c r="K46" s="285"/>
      <c r="L46" s="102"/>
      <c r="M46" s="1"/>
      <c r="N46" s="1"/>
      <c r="O46" s="17"/>
    </row>
    <row r="47" spans="1:24" ht="16.5" x14ac:dyDescent="0.3">
      <c r="A47" s="18" t="s">
        <v>8</v>
      </c>
      <c r="B47" s="5"/>
      <c r="C47" s="5"/>
      <c r="D47" s="5"/>
      <c r="E47" s="5"/>
      <c r="F47" s="5"/>
      <c r="G47" s="5"/>
      <c r="H47" s="5"/>
      <c r="I47" s="5"/>
      <c r="J47" s="5"/>
      <c r="K47" s="5"/>
      <c r="L47" s="5"/>
      <c r="M47" s="5"/>
      <c r="N47" s="5"/>
      <c r="O47" s="19"/>
    </row>
    <row r="48" spans="1:24" x14ac:dyDescent="0.3">
      <c r="A48" s="28" t="s">
        <v>4</v>
      </c>
      <c r="B48" s="27"/>
      <c r="C48" s="27" t="s">
        <v>28</v>
      </c>
      <c r="D48" s="27"/>
      <c r="E48" s="27"/>
      <c r="F48" s="27"/>
      <c r="G48" s="1"/>
      <c r="H48" s="1"/>
      <c r="I48" s="1"/>
      <c r="J48" s="1"/>
      <c r="K48" s="1"/>
      <c r="L48" s="1"/>
      <c r="M48" s="1"/>
      <c r="N48" s="1"/>
      <c r="O48" s="17"/>
    </row>
    <row r="49" spans="1:21" x14ac:dyDescent="0.3">
      <c r="A49" s="28" t="s">
        <v>2</v>
      </c>
      <c r="B49" s="27"/>
      <c r="C49" s="27" t="s">
        <v>28</v>
      </c>
      <c r="D49" s="27"/>
      <c r="E49" s="27"/>
      <c r="F49" s="27"/>
      <c r="G49" s="1"/>
      <c r="H49" s="1"/>
      <c r="I49" s="1"/>
      <c r="J49" s="1"/>
      <c r="K49" s="1"/>
      <c r="L49" s="1"/>
      <c r="M49" s="1"/>
      <c r="N49" s="1"/>
      <c r="O49" s="17"/>
      <c r="U49" t="e">
        <f ca="1">SpellNumber(O44)</f>
        <v>#NAME?</v>
      </c>
    </row>
    <row r="50" spans="1:21" x14ac:dyDescent="0.3">
      <c r="A50" s="28" t="s">
        <v>3</v>
      </c>
      <c r="B50" s="27"/>
      <c r="C50" s="27" t="s">
        <v>29</v>
      </c>
      <c r="D50" s="27"/>
      <c r="E50" s="27"/>
      <c r="F50" s="27"/>
      <c r="G50" s="1"/>
      <c r="H50" s="1"/>
      <c r="I50" s="1"/>
      <c r="J50" s="1"/>
      <c r="K50" s="1"/>
      <c r="L50" s="1"/>
      <c r="M50" s="1"/>
      <c r="N50" s="1"/>
      <c r="O50" s="17"/>
    </row>
    <row r="51" spans="1:21" x14ac:dyDescent="0.3">
      <c r="A51" s="28"/>
      <c r="B51" s="27"/>
      <c r="C51" s="27"/>
      <c r="D51" s="27"/>
      <c r="E51" s="27"/>
      <c r="F51" s="27"/>
      <c r="G51" s="1"/>
      <c r="H51" s="1"/>
      <c r="I51" s="1"/>
      <c r="J51" s="1"/>
      <c r="K51" s="1"/>
      <c r="L51" s="1"/>
      <c r="M51" s="1"/>
      <c r="N51" s="1"/>
      <c r="O51" s="17"/>
      <c r="T51" t="e">
        <f ca="1">SpellNumber(O44)</f>
        <v>#NAME?</v>
      </c>
    </row>
    <row r="52" spans="1:21" x14ac:dyDescent="0.3">
      <c r="A52" s="29" t="s">
        <v>6</v>
      </c>
      <c r="B52" s="26"/>
      <c r="C52" s="271" t="s">
        <v>24</v>
      </c>
      <c r="D52" s="271"/>
      <c r="E52" s="271"/>
      <c r="F52" s="271"/>
      <c r="G52" s="2"/>
      <c r="H52" s="2"/>
      <c r="I52" s="2"/>
      <c r="J52" s="2"/>
      <c r="K52" s="2"/>
      <c r="L52" s="2"/>
      <c r="M52" s="2"/>
      <c r="N52" s="2"/>
      <c r="O52" s="17"/>
      <c r="T52" t="e">
        <f ca="1">SpellNumber(O44)</f>
        <v>#NAME?</v>
      </c>
    </row>
    <row r="53" spans="1:21" x14ac:dyDescent="0.3">
      <c r="A53" s="20"/>
      <c r="B53" s="2"/>
      <c r="C53" s="2"/>
      <c r="D53" s="2"/>
      <c r="E53" s="2"/>
      <c r="F53" s="2"/>
      <c r="G53" s="2"/>
      <c r="H53" s="2"/>
      <c r="I53" s="2"/>
      <c r="J53" s="2"/>
      <c r="K53" s="2"/>
      <c r="L53" s="2"/>
      <c r="M53" s="2"/>
      <c r="N53" s="2"/>
      <c r="O53" s="17"/>
      <c r="T53" t="e">
        <f ca="1">SpellNumber(O44)</f>
        <v>#NAME?</v>
      </c>
    </row>
    <row r="54" spans="1:21" ht="15" customHeight="1" x14ac:dyDescent="0.3">
      <c r="A54" s="272" t="s">
        <v>30</v>
      </c>
      <c r="B54" s="273"/>
      <c r="C54" s="273"/>
      <c r="D54" s="273"/>
      <c r="E54" s="273"/>
      <c r="F54" s="273"/>
      <c r="G54" s="273"/>
      <c r="H54" s="78"/>
      <c r="I54" s="78"/>
      <c r="J54" s="2"/>
      <c r="K54" s="2"/>
      <c r="L54" s="2"/>
      <c r="M54" s="2"/>
      <c r="N54" s="2"/>
      <c r="O54" s="17"/>
    </row>
    <row r="55" spans="1:21" x14ac:dyDescent="0.3">
      <c r="A55" s="272"/>
      <c r="B55" s="273"/>
      <c r="C55" s="273"/>
      <c r="D55" s="273"/>
      <c r="E55" s="273"/>
      <c r="F55" s="273"/>
      <c r="G55" s="273"/>
      <c r="H55" s="78"/>
      <c r="I55" s="78"/>
      <c r="J55" s="2"/>
      <c r="K55" s="2"/>
      <c r="L55" s="2"/>
      <c r="M55" s="2"/>
      <c r="N55" s="2"/>
      <c r="O55" s="17"/>
    </row>
    <row r="56" spans="1:21" x14ac:dyDescent="0.3">
      <c r="A56" s="272"/>
      <c r="B56" s="273"/>
      <c r="C56" s="273"/>
      <c r="D56" s="273"/>
      <c r="E56" s="273"/>
      <c r="F56" s="273"/>
      <c r="G56" s="273"/>
      <c r="H56" s="78"/>
      <c r="I56" s="78"/>
      <c r="J56" s="2"/>
      <c r="K56" s="2"/>
      <c r="L56" s="2"/>
      <c r="M56" s="2"/>
      <c r="N56" s="2"/>
      <c r="O56" s="17"/>
    </row>
    <row r="57" spans="1:21" x14ac:dyDescent="0.3">
      <c r="A57" s="21" t="s">
        <v>92</v>
      </c>
      <c r="B57" s="4"/>
      <c r="C57" s="2"/>
      <c r="D57" s="2"/>
      <c r="E57" s="2"/>
      <c r="F57" s="2"/>
      <c r="G57" s="2"/>
      <c r="H57" s="2"/>
      <c r="I57" s="2"/>
      <c r="J57" s="2"/>
      <c r="K57" s="2"/>
      <c r="L57" s="2"/>
      <c r="M57" s="2"/>
      <c r="N57" s="2"/>
      <c r="O57" s="17"/>
    </row>
    <row r="58" spans="1:21" ht="15.75" thickBot="1" x14ac:dyDescent="0.35">
      <c r="A58" s="274" t="str">
        <f>IF(B1=X1,Z1,AA1)</f>
        <v>SINOCHEM TIANJIN CO., LTD</v>
      </c>
      <c r="B58" s="275">
        <f>IF(C57=Y57,AA57,AB57)</f>
        <v>0</v>
      </c>
      <c r="C58" s="275">
        <f>IF(D57=Z57,AB57,AC57)</f>
        <v>0</v>
      </c>
      <c r="D58" s="275">
        <f>IF(E57=AA57,AC57,AD57)</f>
        <v>0</v>
      </c>
      <c r="E58" s="24"/>
      <c r="F58" s="22"/>
      <c r="G58" s="22"/>
      <c r="H58" s="22"/>
      <c r="I58" s="22"/>
      <c r="J58" s="22"/>
      <c r="K58" s="22"/>
      <c r="L58" s="22"/>
      <c r="M58" s="22"/>
      <c r="N58" s="22"/>
      <c r="O58" s="23"/>
    </row>
  </sheetData>
  <mergeCells count="68">
    <mergeCell ref="Q13:R14"/>
    <mergeCell ref="M14:N14"/>
    <mergeCell ref="B1:F1"/>
    <mergeCell ref="N2:O2"/>
    <mergeCell ref="N3:O3"/>
    <mergeCell ref="K5:M5"/>
    <mergeCell ref="N5:O5"/>
    <mergeCell ref="A10:D10"/>
    <mergeCell ref="M10:N10"/>
    <mergeCell ref="B18:D18"/>
    <mergeCell ref="E18:F18"/>
    <mergeCell ref="A11:B11"/>
    <mergeCell ref="C11:D11"/>
    <mergeCell ref="M11:N11"/>
    <mergeCell ref="M12:N12"/>
    <mergeCell ref="M13:N13"/>
    <mergeCell ref="M15:N15"/>
    <mergeCell ref="B16:D16"/>
    <mergeCell ref="E16:F16"/>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A37:B37"/>
    <mergeCell ref="C37:D37"/>
    <mergeCell ref="M37:N37"/>
    <mergeCell ref="B31:D31"/>
    <mergeCell ref="E31:F31"/>
    <mergeCell ref="B32:D32"/>
    <mergeCell ref="E32:F32"/>
    <mergeCell ref="B33:D33"/>
    <mergeCell ref="E33:F33"/>
    <mergeCell ref="B34:D34"/>
    <mergeCell ref="E34:F34"/>
    <mergeCell ref="A36:B36"/>
    <mergeCell ref="C36:D36"/>
    <mergeCell ref="M36:N36"/>
    <mergeCell ref="C52:F52"/>
    <mergeCell ref="A54:G56"/>
    <mergeCell ref="A58:D58"/>
    <mergeCell ref="M38:N38"/>
    <mergeCell ref="M39:N39"/>
    <mergeCell ref="M44:N44"/>
    <mergeCell ref="A45:B45"/>
    <mergeCell ref="C45:K45"/>
    <mergeCell ref="A46:K46"/>
  </mergeCells>
  <dataValidations count="1">
    <dataValidation type="list" allowBlank="1" showInputMessage="1" showErrorMessage="1" sqref="B1:F1" xr:uid="{00000000-0002-0000-0A00-000000000000}">
      <formula1>$X$1:$Y$1</formula1>
    </dataValidation>
  </dataValidations>
  <printOptions horizontalCentered="1"/>
  <pageMargins left="0.511811023622047" right="0.511811023622047" top="0.511811023622047" bottom="0.511811023622047" header="0.511811023622047" footer="0.23622047244094499"/>
  <pageSetup scale="60"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pageSetUpPr fitToPage="1"/>
  </sheetPr>
  <dimension ref="A1:Y52"/>
  <sheetViews>
    <sheetView showGridLines="0" topLeftCell="A7" zoomScale="85" zoomScaleNormal="85" workbookViewId="0">
      <selection activeCell="B1" sqref="B1:F1"/>
    </sheetView>
  </sheetViews>
  <sheetFormatPr defaultRowHeight="15" x14ac:dyDescent="0.3"/>
  <cols>
    <col min="1" max="3" width="11.42578125" customWidth="1"/>
    <col min="4" max="4" width="13.5703125" customWidth="1"/>
    <col min="5" max="5" width="11.42578125" customWidth="1"/>
    <col min="6" max="6" width="17" customWidth="1"/>
    <col min="7" max="7" width="8.140625" bestFit="1" customWidth="1"/>
    <col min="8" max="8" width="8.140625" customWidth="1"/>
    <col min="9" max="12" width="11.42578125" customWidth="1"/>
    <col min="13" max="13" width="16.85546875" customWidth="1"/>
    <col min="14" max="14" width="10.85546875" bestFit="1" customWidth="1"/>
    <col min="15" max="15" width="9.85546875" bestFit="1" customWidth="1"/>
    <col min="18" max="18" width="11.85546875" bestFit="1" customWidth="1"/>
    <col min="22" max="22" width="13.7109375" bestFit="1" customWidth="1"/>
  </cols>
  <sheetData>
    <row r="1" spans="1:25" ht="78" customHeight="1" x14ac:dyDescent="0.45">
      <c r="A1" s="8"/>
      <c r="B1" s="306" t="s">
        <v>108</v>
      </c>
      <c r="C1" s="306"/>
      <c r="D1" s="306"/>
      <c r="E1" s="306"/>
      <c r="F1" s="306"/>
      <c r="G1" s="84"/>
      <c r="H1" s="84"/>
      <c r="I1" s="84"/>
      <c r="J1" s="84"/>
      <c r="K1" s="84"/>
      <c r="L1" s="84"/>
      <c r="M1" s="30" t="s">
        <v>7</v>
      </c>
      <c r="V1" s="87" t="s">
        <v>74</v>
      </c>
      <c r="W1" s="88" t="s">
        <v>108</v>
      </c>
      <c r="X1" s="38" t="s">
        <v>69</v>
      </c>
      <c r="Y1" s="38" t="s">
        <v>109</v>
      </c>
    </row>
    <row r="2" spans="1:25" ht="16.5" x14ac:dyDescent="0.3">
      <c r="A2" s="38" t="str">
        <f>IF(B1=V1,X1,Y1)</f>
        <v>SINOCHEM TIANJIN CO., LTD</v>
      </c>
      <c r="B2" s="39"/>
      <c r="C2" s="39"/>
      <c r="D2" s="9"/>
      <c r="E2" s="9"/>
      <c r="F2" s="9"/>
      <c r="G2" s="9"/>
      <c r="H2" s="9"/>
      <c r="I2" s="9"/>
      <c r="J2" s="35"/>
      <c r="K2" s="36" t="s">
        <v>45</v>
      </c>
      <c r="L2" s="307">
        <v>42278</v>
      </c>
      <c r="M2" s="308"/>
      <c r="X2" s="89" t="s">
        <v>110</v>
      </c>
      <c r="Y2" s="89" t="s">
        <v>111</v>
      </c>
    </row>
    <row r="3" spans="1:25" ht="16.5" x14ac:dyDescent="0.3">
      <c r="A3" s="40" t="s">
        <v>11</v>
      </c>
      <c r="B3" s="41"/>
      <c r="C3" s="41"/>
      <c r="D3" s="10"/>
      <c r="E3" s="10"/>
      <c r="F3" s="10"/>
      <c r="G3" s="10"/>
      <c r="H3" s="10"/>
      <c r="I3" s="10"/>
      <c r="J3" s="37"/>
      <c r="K3" s="36" t="s">
        <v>44</v>
      </c>
      <c r="L3" s="307" t="s">
        <v>96</v>
      </c>
      <c r="M3" s="308"/>
      <c r="X3" s="38" t="s">
        <v>112</v>
      </c>
      <c r="Y3" s="38" t="s">
        <v>113</v>
      </c>
    </row>
    <row r="4" spans="1:25" ht="15" customHeight="1" x14ac:dyDescent="0.3">
      <c r="A4" s="40" t="s">
        <v>12</v>
      </c>
      <c r="B4" s="41"/>
      <c r="C4" s="41"/>
      <c r="D4" s="9"/>
      <c r="E4" s="9"/>
      <c r="F4" s="9"/>
      <c r="G4" s="9"/>
      <c r="H4" s="9"/>
      <c r="I4" s="9"/>
      <c r="J4" s="35"/>
      <c r="K4" s="36" t="s">
        <v>47</v>
      </c>
      <c r="L4" s="79" t="s">
        <v>98</v>
      </c>
      <c r="M4" s="77" t="s">
        <v>124</v>
      </c>
    </row>
    <row r="5" spans="1:25" ht="16.5" x14ac:dyDescent="0.3">
      <c r="A5" s="40" t="s">
        <v>10</v>
      </c>
      <c r="B5" s="41"/>
      <c r="C5" s="41"/>
      <c r="D5" s="9"/>
      <c r="E5" s="9"/>
      <c r="F5" s="9"/>
      <c r="G5" s="9"/>
      <c r="H5" s="9"/>
      <c r="I5" s="9"/>
      <c r="J5" s="309"/>
      <c r="K5" s="309"/>
      <c r="L5" s="310"/>
      <c r="M5" s="311"/>
      <c r="P5" t="s">
        <v>105</v>
      </c>
    </row>
    <row r="6" spans="1:25" ht="16.5" x14ac:dyDescent="0.3">
      <c r="A6" s="40" t="s">
        <v>9</v>
      </c>
      <c r="B6" s="41"/>
      <c r="C6" s="41"/>
      <c r="D6" s="9"/>
      <c r="E6" s="9"/>
      <c r="F6" s="9"/>
      <c r="G6" s="9"/>
      <c r="H6" s="9"/>
      <c r="I6" s="9"/>
      <c r="J6" s="9"/>
      <c r="K6" s="9"/>
      <c r="L6" s="9"/>
      <c r="M6" s="11"/>
      <c r="P6" t="s">
        <v>106</v>
      </c>
    </row>
    <row r="7" spans="1:25" x14ac:dyDescent="0.3">
      <c r="A7" s="12"/>
      <c r="B7" s="1"/>
      <c r="C7" s="1"/>
      <c r="D7" s="9"/>
      <c r="E7" s="9"/>
      <c r="F7" s="9"/>
      <c r="G7" s="9"/>
      <c r="H7" s="9"/>
      <c r="I7" s="9"/>
      <c r="J7" s="9"/>
      <c r="K7" s="9"/>
      <c r="L7" s="9"/>
      <c r="M7" s="11"/>
      <c r="P7" t="s">
        <v>89</v>
      </c>
    </row>
    <row r="8" spans="1:25" x14ac:dyDescent="0.3">
      <c r="A8" s="12"/>
      <c r="B8" s="1"/>
      <c r="C8" s="1"/>
      <c r="D8" s="1"/>
      <c r="E8" s="1"/>
      <c r="F8" s="1"/>
      <c r="G8" s="1"/>
      <c r="H8" s="1"/>
      <c r="I8" s="1"/>
      <c r="J8" s="1"/>
      <c r="K8" s="1"/>
      <c r="L8" s="1"/>
      <c r="M8" s="11"/>
    </row>
    <row r="9" spans="1:25" ht="16.5" x14ac:dyDescent="0.3">
      <c r="A9" s="13" t="s">
        <v>1</v>
      </c>
      <c r="B9" s="3"/>
      <c r="C9" s="3"/>
      <c r="D9" s="3"/>
      <c r="E9" s="3"/>
      <c r="F9" s="3"/>
      <c r="G9" s="3"/>
      <c r="H9" s="3"/>
      <c r="I9" s="3"/>
      <c r="J9" s="3"/>
      <c r="K9" s="3"/>
      <c r="L9" s="3" t="s">
        <v>31</v>
      </c>
      <c r="M9" s="34"/>
    </row>
    <row r="10" spans="1:25" ht="16.5" x14ac:dyDescent="0.3">
      <c r="A10" s="40" t="s">
        <v>88</v>
      </c>
      <c r="B10" s="41"/>
      <c r="C10" s="41"/>
      <c r="D10" s="9"/>
      <c r="E10" s="9"/>
      <c r="F10" s="9"/>
      <c r="G10" s="9"/>
      <c r="H10" s="9"/>
      <c r="I10" s="9"/>
      <c r="J10" s="9"/>
      <c r="K10" s="299" t="s">
        <v>32</v>
      </c>
      <c r="L10" s="299"/>
      <c r="M10" s="59" t="s">
        <v>34</v>
      </c>
    </row>
    <row r="11" spans="1:25" ht="16.5" customHeight="1" x14ac:dyDescent="0.3">
      <c r="A11" s="40" t="s">
        <v>86</v>
      </c>
      <c r="B11" s="41"/>
      <c r="C11" s="41"/>
      <c r="D11" s="9"/>
      <c r="E11" s="9"/>
      <c r="F11" s="9"/>
      <c r="G11" s="9"/>
      <c r="H11" s="9"/>
      <c r="I11" s="9"/>
      <c r="J11" s="9"/>
      <c r="K11" s="299" t="s">
        <v>42</v>
      </c>
      <c r="L11" s="299"/>
      <c r="M11" s="59" t="s">
        <v>43</v>
      </c>
    </row>
    <row r="12" spans="1:25" ht="16.5" customHeight="1" x14ac:dyDescent="0.3">
      <c r="A12" s="40" t="s">
        <v>87</v>
      </c>
      <c r="B12" s="41"/>
      <c r="C12" s="41"/>
      <c r="D12" s="9"/>
      <c r="E12" s="9"/>
      <c r="F12" s="9"/>
      <c r="G12" s="9"/>
      <c r="H12" s="9"/>
      <c r="I12" s="9"/>
      <c r="J12" s="9"/>
      <c r="K12" s="299" t="s">
        <v>41</v>
      </c>
      <c r="L12" s="299"/>
      <c r="M12" s="61">
        <f xml:space="preserve"> K29</f>
        <v>9752</v>
      </c>
      <c r="W12" t="s">
        <v>80</v>
      </c>
      <c r="Y12" t="s">
        <v>36</v>
      </c>
    </row>
    <row r="13" spans="1:25" ht="16.5" customHeight="1" x14ac:dyDescent="0.3">
      <c r="A13" s="40" t="s">
        <v>85</v>
      </c>
      <c r="B13" s="41"/>
      <c r="C13" s="41"/>
      <c r="D13" s="9"/>
      <c r="E13" s="9"/>
      <c r="F13" s="9"/>
      <c r="G13" s="9"/>
      <c r="H13" s="9"/>
      <c r="I13" s="9"/>
      <c r="J13" s="9"/>
      <c r="K13" s="299" t="s">
        <v>35</v>
      </c>
      <c r="L13" s="299"/>
      <c r="M13" s="60" t="str">
        <f>IF(K29/J29=1.06,"Cartons",IF(K29/J29&gt;=1.12,"Drums","Cartons &amp; Drums"))</f>
        <v>Cartons</v>
      </c>
      <c r="O13" s="215" t="s">
        <v>77</v>
      </c>
      <c r="P13" s="215"/>
      <c r="Q13" s="83"/>
      <c r="R13" s="64" t="s">
        <v>78</v>
      </c>
      <c r="S13" s="65" t="s">
        <v>76</v>
      </c>
      <c r="T13" t="s">
        <v>95</v>
      </c>
      <c r="V13" s="51" t="s">
        <v>75</v>
      </c>
      <c r="W13" s="50">
        <v>19800</v>
      </c>
      <c r="Y13" t="s">
        <v>67</v>
      </c>
    </row>
    <row r="14" spans="1:25" ht="16.5" customHeight="1" x14ac:dyDescent="0.3">
      <c r="A14" s="42" t="s">
        <v>84</v>
      </c>
      <c r="B14" s="43"/>
      <c r="C14" s="41"/>
      <c r="D14" s="9"/>
      <c r="E14" s="9"/>
      <c r="F14" s="9"/>
      <c r="G14" s="9"/>
      <c r="H14" s="9"/>
      <c r="I14" s="9"/>
      <c r="J14" s="9"/>
      <c r="K14" s="299" t="s">
        <v>33</v>
      </c>
      <c r="L14" s="299"/>
      <c r="M14" s="60">
        <f>J29/25</f>
        <v>368</v>
      </c>
      <c r="O14" s="215"/>
      <c r="P14" s="215"/>
      <c r="Q14" s="83"/>
      <c r="R14" s="83">
        <v>1</v>
      </c>
      <c r="S14" s="66"/>
      <c r="T14">
        <v>0.38</v>
      </c>
      <c r="V14" s="51" t="s">
        <v>76</v>
      </c>
      <c r="W14" s="50">
        <v>15000</v>
      </c>
      <c r="Y14" t="s">
        <v>91</v>
      </c>
    </row>
    <row r="15" spans="1:25" ht="12" customHeight="1" x14ac:dyDescent="0.3">
      <c r="A15" s="12"/>
      <c r="B15" s="1"/>
      <c r="C15" s="43"/>
      <c r="D15" s="1"/>
      <c r="E15" s="1"/>
      <c r="F15" s="1"/>
      <c r="G15" s="1"/>
      <c r="H15" s="1"/>
      <c r="I15" s="1"/>
      <c r="J15" s="1"/>
      <c r="K15" s="299"/>
      <c r="L15" s="299"/>
      <c r="M15" s="59"/>
      <c r="Y15" t="s">
        <v>89</v>
      </c>
    </row>
    <row r="16" spans="1:25" ht="48.75" customHeight="1" x14ac:dyDescent="0.3">
      <c r="A16" s="31" t="s">
        <v>17</v>
      </c>
      <c r="B16" s="312" t="s">
        <v>0</v>
      </c>
      <c r="C16" s="312"/>
      <c r="D16" s="312"/>
      <c r="E16" s="312" t="s">
        <v>39</v>
      </c>
      <c r="F16" s="312"/>
      <c r="G16" s="32" t="s">
        <v>18</v>
      </c>
      <c r="H16" s="32" t="s">
        <v>104</v>
      </c>
      <c r="I16" s="32" t="s">
        <v>19</v>
      </c>
      <c r="J16" s="32" t="s">
        <v>20</v>
      </c>
      <c r="K16" s="32" t="s">
        <v>23</v>
      </c>
      <c r="L16" s="32" t="s">
        <v>49</v>
      </c>
      <c r="M16" s="33" t="s">
        <v>50</v>
      </c>
      <c r="O16" s="32" t="s">
        <v>72</v>
      </c>
      <c r="P16" s="32" t="s">
        <v>81</v>
      </c>
      <c r="Q16" s="32" t="s">
        <v>94</v>
      </c>
      <c r="R16" s="32" t="s">
        <v>93</v>
      </c>
      <c r="S16" s="32" t="s">
        <v>73</v>
      </c>
    </row>
    <row r="17" spans="1:22" s="50" customFormat="1" ht="30" customHeight="1" x14ac:dyDescent="0.3">
      <c r="A17" s="67">
        <v>2832</v>
      </c>
      <c r="B17" s="290" t="e">
        <f>IF(A17:A28="","",IF(L$4="sys/",VLOOKUP(A17:A28,#REF!,4,FALSE)))</f>
        <v>#REF!</v>
      </c>
      <c r="C17" s="291"/>
      <c r="D17" s="292"/>
      <c r="E17" s="293" t="e">
        <f>IF(A17:A28="","",IF(L$4="sys/",VLOOKUP(A17:A28,#REF!,7,FALSE)))</f>
        <v>#REF!</v>
      </c>
      <c r="F17" s="294"/>
      <c r="G17" s="53" t="e">
        <f>IF(A17:A28="","",IF(L$4="sys/",VLOOKUP(A17:A28,#REF!,9,FALSE)))</f>
        <v>#REF!</v>
      </c>
      <c r="H17" s="53" t="s">
        <v>105</v>
      </c>
      <c r="I17" s="53" t="e">
        <f>IF(A17:A28="","",IF(L$4="sys/",VLOOKUP(A17:A28,#REF!,8,FALSE)))</f>
        <v>#REF!</v>
      </c>
      <c r="J17" s="52">
        <v>2000</v>
      </c>
      <c r="K17" s="52">
        <f>IF(H17="","",IF(H17="carton",(J17*26.5/25),IF(H17="drum",J17*28/25,IF(H17="bale",0))))</f>
        <v>2120</v>
      </c>
      <c r="L17" s="86" t="str">
        <f>FIXED(O17-(M$31/J$29),2,1)</f>
        <v>37.18</v>
      </c>
      <c r="M17" s="74">
        <f>J17*L17</f>
        <v>74360</v>
      </c>
      <c r="N17" s="49"/>
      <c r="O17" s="70">
        <v>38</v>
      </c>
      <c r="P17" s="48"/>
      <c r="Q17" s="73"/>
      <c r="R17" s="63" t="e">
        <f>(O17-P17)/P17+Q17</f>
        <v>#DIV/0!</v>
      </c>
      <c r="S17" s="50" t="e">
        <f>O17*J17*R17</f>
        <v>#DIV/0!</v>
      </c>
      <c r="T17" s="50">
        <f>O17*J17</f>
        <v>76000</v>
      </c>
    </row>
    <row r="18" spans="1:22" s="50" customFormat="1" ht="30" customHeight="1" x14ac:dyDescent="0.3">
      <c r="A18" s="68">
        <v>15103</v>
      </c>
      <c r="B18" s="290" t="e">
        <f>IF(A18:A29="","",IF(L$4="sys/",VLOOKUP(A18:A29,#REF!,4,FALSE)))</f>
        <v>#REF!</v>
      </c>
      <c r="C18" s="291"/>
      <c r="D18" s="292"/>
      <c r="E18" s="293" t="e">
        <f>IF(A18:A29="","",IF(L$4="sys/",VLOOKUP(A18:A29,#REF!,7,FALSE)))</f>
        <v>#REF!</v>
      </c>
      <c r="F18" s="294"/>
      <c r="G18" s="53" t="e">
        <f>IF(A18:A29="","",IF(L$4="sys/",VLOOKUP(A18:A29,#REF!,9,FALSE)))</f>
        <v>#REF!</v>
      </c>
      <c r="H18" s="53" t="s">
        <v>105</v>
      </c>
      <c r="I18" s="53" t="e">
        <f>IF(A18:A29="","",IF(L$4="sys/",VLOOKUP(A18:A29,#REF!,8,FALSE)))</f>
        <v>#REF!</v>
      </c>
      <c r="J18" s="53">
        <v>7200</v>
      </c>
      <c r="K18" s="53">
        <f t="shared" ref="K18:K28" si="0">IF(H18="","",IF(H18="carton",(J18*26.5/25),IF(H18="drum",J18*28/25,IF(H18="bale",0))))</f>
        <v>7632</v>
      </c>
      <c r="L18" s="85" t="str">
        <f>FIXED(O18-(M$31/J$29),2,1)</f>
        <v>49.18</v>
      </c>
      <c r="M18" s="74">
        <f>J18*L18</f>
        <v>354096</v>
      </c>
      <c r="N18" s="49"/>
      <c r="O18" s="70">
        <v>50</v>
      </c>
      <c r="P18" s="48"/>
      <c r="Q18" s="73"/>
      <c r="R18" s="63" t="e">
        <f>(O18-P18)/P18+Q18</f>
        <v>#DIV/0!</v>
      </c>
      <c r="S18" s="50" t="e">
        <f>O18*J18*R18</f>
        <v>#DIV/0!</v>
      </c>
      <c r="T18" s="50">
        <f>O18*J18</f>
        <v>360000</v>
      </c>
    </row>
    <row r="19" spans="1:22" s="50" customFormat="1" ht="30" customHeight="1" x14ac:dyDescent="0.3">
      <c r="A19" s="68"/>
      <c r="B19" s="290" t="str">
        <f>IF(A19:A30="","",IF(L$4="sys/",VLOOKUP(A19:A30,#REF!,4,FALSE)))</f>
        <v/>
      </c>
      <c r="C19" s="291"/>
      <c r="D19" s="292"/>
      <c r="E19" s="293" t="str">
        <f>IF(A19:A30="","",IF(L$4="sys/",VLOOKUP(A19:A30,#REF!,7,FALSE)))</f>
        <v/>
      </c>
      <c r="F19" s="294"/>
      <c r="G19" s="53" t="str">
        <f>IF(A19:A30="","",IF(L$4="sys/",VLOOKUP(A19:A30,#REF!,9,FALSE)))</f>
        <v/>
      </c>
      <c r="H19" s="53"/>
      <c r="I19" s="53" t="str">
        <f>IF(A19:A30="","",IF(L$4="sys/",VLOOKUP(A19:A30,#REF!,8,FALSE)))</f>
        <v/>
      </c>
      <c r="J19" s="53"/>
      <c r="K19" s="53" t="str">
        <f t="shared" si="0"/>
        <v/>
      </c>
      <c r="L19" s="85"/>
      <c r="M19" s="74"/>
      <c r="N19" s="49"/>
      <c r="O19" s="70"/>
      <c r="P19" s="48"/>
      <c r="Q19" s="73"/>
      <c r="R19" s="63" t="e">
        <f>(O19-P19)/P19+Q19</f>
        <v>#DIV/0!</v>
      </c>
      <c r="S19" s="50" t="e">
        <f>O19*J19*R19</f>
        <v>#DIV/0!</v>
      </c>
      <c r="T19" s="50">
        <f>O19*J19</f>
        <v>0</v>
      </c>
      <c r="V19" s="51"/>
    </row>
    <row r="20" spans="1:22" s="50" customFormat="1" ht="30" customHeight="1" x14ac:dyDescent="0.3">
      <c r="A20" s="68"/>
      <c r="B20" s="290" t="str">
        <f>IF(A20:A31="","",IF(L$4="sys/",VLOOKUP(A20:A31,#REF!,4,FALSE)))</f>
        <v/>
      </c>
      <c r="C20" s="291"/>
      <c r="D20" s="292"/>
      <c r="E20" s="293" t="str">
        <f>IF(A20:A31="","",IF(L$4="sys/",VLOOKUP(A20:A31,#REF!,7,FALSE)))</f>
        <v/>
      </c>
      <c r="F20" s="294"/>
      <c r="G20" s="53" t="str">
        <f>IF(A20:A31="","",IF(L$4="sys/",VLOOKUP(A20:A31,#REF!,9,FALSE)))</f>
        <v/>
      </c>
      <c r="H20" s="53"/>
      <c r="I20" s="53" t="str">
        <f>IF(A20:A31="","",IF(L$4="sys/",VLOOKUP(A20:A31,#REF!,8,FALSE)))</f>
        <v/>
      </c>
      <c r="J20" s="53"/>
      <c r="K20" s="53" t="str">
        <f t="shared" si="0"/>
        <v/>
      </c>
      <c r="L20" s="85"/>
      <c r="M20" s="74"/>
      <c r="N20" s="49"/>
      <c r="O20" s="70"/>
      <c r="P20" s="48"/>
      <c r="Q20" s="73"/>
      <c r="R20" s="63" t="e">
        <f>(O20-P20)/P20+Q20</f>
        <v>#DIV/0!</v>
      </c>
      <c r="S20" s="50" t="e">
        <f>O20*J20*R20</f>
        <v>#DIV/0!</v>
      </c>
      <c r="T20" s="50">
        <f>O20*J20</f>
        <v>0</v>
      </c>
    </row>
    <row r="21" spans="1:22" s="50" customFormat="1" ht="30" customHeight="1" x14ac:dyDescent="0.3">
      <c r="A21" s="68"/>
      <c r="B21" s="290" t="str">
        <f>IF(A21:A32="","",IF(L$4="sys/",VLOOKUP(A21:A32,#REF!,4,FALSE)))</f>
        <v/>
      </c>
      <c r="C21" s="291"/>
      <c r="D21" s="292"/>
      <c r="E21" s="293" t="str">
        <f>IF(A21:A32="","",IF(L$4="sys/",VLOOKUP(A21:A32,#REF!,7,FALSE)))</f>
        <v/>
      </c>
      <c r="F21" s="294"/>
      <c r="G21" s="53" t="str">
        <f>IF(A21:A32="","",IF(L$4="sys/",VLOOKUP(A21:A32,#REF!,9,FALSE)))</f>
        <v/>
      </c>
      <c r="H21" s="53"/>
      <c r="I21" s="53" t="str">
        <f>IF(A21:A32="","",IF(L$4="sys/",VLOOKUP(A21:A32,#REF!,8,FALSE)))</f>
        <v/>
      </c>
      <c r="J21" s="53"/>
      <c r="K21" s="53" t="str">
        <f t="shared" si="0"/>
        <v/>
      </c>
      <c r="L21" s="85"/>
      <c r="M21" s="74"/>
      <c r="N21" s="49"/>
      <c r="O21" s="70"/>
      <c r="P21" s="48"/>
      <c r="Q21" s="73"/>
      <c r="R21" s="63" t="e">
        <f>(#REF!-P21)/P21+Q21</f>
        <v>#REF!</v>
      </c>
      <c r="S21" s="50" t="e">
        <f>#REF!*#REF!*R21</f>
        <v>#REF!</v>
      </c>
      <c r="T21" s="50" t="e">
        <f>#REF!*#REF!</f>
        <v>#REF!</v>
      </c>
      <c r="V21" s="51"/>
    </row>
    <row r="22" spans="1:22" s="50" customFormat="1" ht="30" customHeight="1" x14ac:dyDescent="0.3">
      <c r="A22" s="68"/>
      <c r="B22" s="290" t="str">
        <f>IF(A22:A33="","",IF(L$4="sys/",VLOOKUP(A22:A33,#REF!,4,FALSE)))</f>
        <v/>
      </c>
      <c r="C22" s="291"/>
      <c r="D22" s="292"/>
      <c r="E22" s="293" t="str">
        <f>IF(A22:A33="","",IF(L$4="sys/",VLOOKUP(A22:A33,#REF!,7,FALSE)))</f>
        <v/>
      </c>
      <c r="F22" s="294"/>
      <c r="G22" s="53" t="str">
        <f>IF(A22:A33="","",IF(L$4="sys/",VLOOKUP(A22:A33,#REF!,9,FALSE)))</f>
        <v/>
      </c>
      <c r="H22" s="53"/>
      <c r="I22" s="53" t="str">
        <f>IF(A22:A33="","",IF(L$4="sys/",VLOOKUP(A22:A33,#REF!,8,FALSE)))</f>
        <v/>
      </c>
      <c r="J22" s="53"/>
      <c r="K22" s="53" t="str">
        <f t="shared" si="0"/>
        <v/>
      </c>
      <c r="L22" s="85"/>
      <c r="M22" s="74"/>
      <c r="N22" s="49"/>
      <c r="P22" s="48"/>
      <c r="Q22" s="73"/>
      <c r="R22" s="63" t="e">
        <f t="shared" ref="R22:R27" si="1">(O21-P22)/P22+Q22</f>
        <v>#DIV/0!</v>
      </c>
      <c r="S22" s="50" t="e">
        <f>O21*J21*R22</f>
        <v>#DIV/0!</v>
      </c>
      <c r="T22" s="50">
        <f>O21*J21</f>
        <v>0</v>
      </c>
      <c r="V22" s="51">
        <f>M38*5.5%</f>
        <v>23978.9</v>
      </c>
    </row>
    <row r="23" spans="1:22" s="50" customFormat="1" ht="30" customHeight="1" x14ac:dyDescent="0.3">
      <c r="A23" s="68"/>
      <c r="B23" s="290" t="str">
        <f>IF(A23:A34="","",IF(L$4="sys/",VLOOKUP(A23:A34,#REF!,4,FALSE)))</f>
        <v/>
      </c>
      <c r="C23" s="291"/>
      <c r="D23" s="292"/>
      <c r="E23" s="293" t="str">
        <f>IF(A23:A34="","",IF(L$4="sys/",VLOOKUP(A23:A34,#REF!,7,FALSE)))</f>
        <v/>
      </c>
      <c r="F23" s="294"/>
      <c r="G23" s="53" t="str">
        <f>IF(A23:A34="","",IF(L$4="sys/",VLOOKUP(A23:A34,#REF!,9,FALSE)))</f>
        <v/>
      </c>
      <c r="H23" s="53"/>
      <c r="I23" s="53" t="str">
        <f>IF(A23:A34="","",IF(L$4="sys/",VLOOKUP(A23:A34,#REF!,8,FALSE)))</f>
        <v/>
      </c>
      <c r="J23" s="53"/>
      <c r="K23" s="53" t="str">
        <f t="shared" si="0"/>
        <v/>
      </c>
      <c r="L23" s="85"/>
      <c r="M23" s="74"/>
      <c r="N23" s="49"/>
      <c r="Q23" s="73"/>
      <c r="R23" s="63" t="e">
        <f t="shared" si="1"/>
        <v>#DIV/0!</v>
      </c>
      <c r="S23" s="50" t="e">
        <f>O22*J22*R23</f>
        <v>#DIV/0!</v>
      </c>
      <c r="T23" s="50">
        <f>O22*J22</f>
        <v>0</v>
      </c>
      <c r="V23" s="51" t="e">
        <f>S29-V22</f>
        <v>#DIV/0!</v>
      </c>
    </row>
    <row r="24" spans="1:22" s="50" customFormat="1" ht="30" customHeight="1" x14ac:dyDescent="0.3">
      <c r="A24" s="68"/>
      <c r="B24" s="290" t="str">
        <f>IF(A24:A35="","",IF(L$4="sys/",VLOOKUP(A24:A35,#REF!,4,FALSE)))</f>
        <v/>
      </c>
      <c r="C24" s="291"/>
      <c r="D24" s="292"/>
      <c r="E24" s="293" t="str">
        <f>IF(A24:A35="","",IF(L$4="sys/",VLOOKUP(A24:A35,#REF!,7,FALSE)))</f>
        <v/>
      </c>
      <c r="F24" s="294"/>
      <c r="G24" s="53" t="str">
        <f>IF(A24:A35="","",IF(L$4="sys/",VLOOKUP(A24:A35,#REF!,9,FALSE)))</f>
        <v/>
      </c>
      <c r="H24" s="53"/>
      <c r="I24" s="53" t="str">
        <f>IF(A24:A35="","",IF(L$4="sys/",VLOOKUP(A24:A35,#REF!,8,FALSE)))</f>
        <v/>
      </c>
      <c r="J24" s="53"/>
      <c r="K24" s="53" t="str">
        <f t="shared" si="0"/>
        <v/>
      </c>
      <c r="L24" s="85"/>
      <c r="M24" s="74"/>
      <c r="N24" s="49"/>
      <c r="Q24" s="73"/>
      <c r="R24" s="63" t="e">
        <f t="shared" si="1"/>
        <v>#DIV/0!</v>
      </c>
      <c r="S24" s="50" t="e">
        <f>O23*J23*R24</f>
        <v>#DIV/0!</v>
      </c>
      <c r="T24" s="50">
        <f>O23*J23</f>
        <v>0</v>
      </c>
      <c r="V24" s="51"/>
    </row>
    <row r="25" spans="1:22" s="50" customFormat="1" ht="30" customHeight="1" x14ac:dyDescent="0.3">
      <c r="A25" s="68"/>
      <c r="B25" s="290" t="str">
        <f>IF(A25:A36="","",IF(L$4="sys/",VLOOKUP(A25:A36,#REF!,4,FALSE)))</f>
        <v/>
      </c>
      <c r="C25" s="291"/>
      <c r="D25" s="292"/>
      <c r="E25" s="293" t="str">
        <f>IF(A25:A36="","",IF(L$4="sys/",VLOOKUP(A25:A36,#REF!,7,FALSE)))</f>
        <v/>
      </c>
      <c r="F25" s="294"/>
      <c r="G25" s="53" t="str">
        <f>IF(A25:A36="","",IF(L$4="sys/",VLOOKUP(A25:A36,#REF!,9,FALSE)))</f>
        <v/>
      </c>
      <c r="H25" s="53"/>
      <c r="I25" s="53" t="str">
        <f>IF(A25:A36="","",IF(L$4="sys/",VLOOKUP(A25:A36,#REF!,8,FALSE)))</f>
        <v/>
      </c>
      <c r="J25" s="53"/>
      <c r="K25" s="53" t="str">
        <f t="shared" si="0"/>
        <v/>
      </c>
      <c r="L25" s="85"/>
      <c r="M25" s="74"/>
      <c r="N25" s="49"/>
      <c r="Q25" s="73"/>
      <c r="R25" s="63" t="e">
        <f t="shared" si="1"/>
        <v>#DIV/0!</v>
      </c>
      <c r="S25" s="50" t="e">
        <f>O24*J24*R25</f>
        <v>#DIV/0!</v>
      </c>
      <c r="T25" s="50">
        <f>O24*J24</f>
        <v>0</v>
      </c>
      <c r="V25" s="51"/>
    </row>
    <row r="26" spans="1:22" s="50" customFormat="1" ht="30" customHeight="1" x14ac:dyDescent="0.3">
      <c r="A26" s="68"/>
      <c r="B26" s="290" t="str">
        <f>IF(A26:A37="","",IF(L$4="sys/",VLOOKUP(A26:A37,#REF!,4,FALSE)))</f>
        <v/>
      </c>
      <c r="C26" s="291"/>
      <c r="D26" s="292"/>
      <c r="E26" s="293" t="str">
        <f>IF(A26:A37="","",IF(L$4="sys/",VLOOKUP(A26:A37,#REF!,7,FALSE)))</f>
        <v/>
      </c>
      <c r="F26" s="294"/>
      <c r="G26" s="53" t="str">
        <f>IF(A26:A37="","",IF(L$4="sys/",VLOOKUP(A26:A37,#REF!,9,FALSE)))</f>
        <v/>
      </c>
      <c r="H26" s="53"/>
      <c r="I26" s="53" t="str">
        <f>IF(A26:A37="","",IF(L$4="sys/",VLOOKUP(A26:A37,#REF!,8,FALSE)))</f>
        <v/>
      </c>
      <c r="J26" s="53"/>
      <c r="K26" s="53" t="str">
        <f t="shared" si="0"/>
        <v/>
      </c>
      <c r="L26" s="85"/>
      <c r="M26" s="74"/>
      <c r="N26" s="49"/>
      <c r="Q26" s="73"/>
      <c r="R26" s="63" t="e">
        <f t="shared" si="1"/>
        <v>#DIV/0!</v>
      </c>
      <c r="S26" s="50" t="e">
        <f>O25*J25*R26</f>
        <v>#DIV/0!</v>
      </c>
      <c r="V26" s="51"/>
    </row>
    <row r="27" spans="1:22" s="50" customFormat="1" ht="30" customHeight="1" x14ac:dyDescent="0.3">
      <c r="A27" s="68"/>
      <c r="B27" s="290" t="str">
        <f>IF(A27:A38="","",IF(L$4="sys/",VLOOKUP(A27:A38,#REF!,4,FALSE)))</f>
        <v/>
      </c>
      <c r="C27" s="291"/>
      <c r="D27" s="292"/>
      <c r="E27" s="293" t="str">
        <f>IF(A27:A38="","",IF(L$4="sys/",VLOOKUP(A27:A38,#REF!,7,FALSE)))</f>
        <v/>
      </c>
      <c r="F27" s="294"/>
      <c r="G27" s="53" t="str">
        <f>IF(A27:A38="","",IF(L$4="sys/",VLOOKUP(A27:A38,#REF!,9,FALSE)))</f>
        <v/>
      </c>
      <c r="H27" s="53"/>
      <c r="I27" s="53" t="str">
        <f>IF(A27:A38="","",IF(L$4="sys/",VLOOKUP(A27:A38,#REF!,8,FALSE)))</f>
        <v/>
      </c>
      <c r="J27" s="53"/>
      <c r="K27" s="53" t="str">
        <f t="shared" si="0"/>
        <v/>
      </c>
      <c r="L27" s="85"/>
      <c r="M27" s="74"/>
      <c r="N27" s="49"/>
      <c r="Q27" s="73"/>
      <c r="R27" s="63" t="e">
        <f t="shared" si="1"/>
        <v>#DIV/0!</v>
      </c>
      <c r="S27" s="50" t="e">
        <f>O26*J27*R27</f>
        <v>#DIV/0!</v>
      </c>
      <c r="V27" s="51"/>
    </row>
    <row r="28" spans="1:22" s="50" customFormat="1" ht="30" customHeight="1" x14ac:dyDescent="0.3">
      <c r="A28" s="68"/>
      <c r="B28" s="290" t="str">
        <f>IF(A28:A39="","",IF(L$4="sys/",VLOOKUP(A28:A39,#REF!,4,FALSE)))</f>
        <v/>
      </c>
      <c r="C28" s="291"/>
      <c r="D28" s="292"/>
      <c r="E28" s="293" t="str">
        <f>IF(A28:A39="","",IF(L$4="sys/",VLOOKUP(A28:A39,#REF!,7,FALSE)))</f>
        <v/>
      </c>
      <c r="F28" s="294"/>
      <c r="G28" s="53" t="str">
        <f>IF(A28:A39="","",IF(L$4="sys/",VLOOKUP(A28:A39,#REF!,9,FALSE)))</f>
        <v/>
      </c>
      <c r="H28" s="53"/>
      <c r="I28" s="53" t="str">
        <f>IF(A28:A39="","",IF(L$4="sys/",VLOOKUP(A28:A39,#REF!,8,FALSE)))</f>
        <v/>
      </c>
      <c r="J28" s="53"/>
      <c r="K28" s="53" t="str">
        <f t="shared" si="0"/>
        <v/>
      </c>
      <c r="L28" s="85"/>
      <c r="M28" s="74"/>
      <c r="N28" s="49"/>
      <c r="O28" s="76" t="s">
        <v>79</v>
      </c>
      <c r="R28" s="63"/>
      <c r="V28" s="51"/>
    </row>
    <row r="29" spans="1:22" ht="16.5" x14ac:dyDescent="0.3">
      <c r="A29" s="14" t="s">
        <v>5</v>
      </c>
      <c r="B29" s="7"/>
      <c r="C29" s="7"/>
      <c r="D29" s="7"/>
      <c r="E29" s="7"/>
      <c r="F29" s="7"/>
      <c r="G29" s="7"/>
      <c r="H29" s="7"/>
      <c r="I29" s="7"/>
      <c r="J29" s="25">
        <f>SUM(J17:J28)</f>
        <v>9200</v>
      </c>
      <c r="K29" s="25">
        <f>SUM(K17:K28)</f>
        <v>9752</v>
      </c>
      <c r="L29" s="25"/>
      <c r="M29" s="58">
        <f>SUM(M17:M28)</f>
        <v>428456</v>
      </c>
      <c r="P29" s="76"/>
      <c r="Q29" s="76"/>
      <c r="R29" s="76"/>
      <c r="S29" t="e">
        <f>SUM(S17:S28)</f>
        <v>#DIV/0!</v>
      </c>
      <c r="V29" s="47" t="e">
        <f>S29/M38</f>
        <v>#DIV/0!</v>
      </c>
    </row>
    <row r="30" spans="1:22" ht="21" x14ac:dyDescent="0.3">
      <c r="A30" s="286" t="s">
        <v>37</v>
      </c>
      <c r="B30" s="287"/>
      <c r="C30" s="271" t="s">
        <v>40</v>
      </c>
      <c r="D30" s="271"/>
      <c r="E30" s="6"/>
      <c r="F30" s="6"/>
      <c r="G30" s="6"/>
      <c r="H30" s="6"/>
      <c r="I30" s="6"/>
      <c r="J30" s="6"/>
      <c r="K30" s="295" t="s">
        <v>21</v>
      </c>
      <c r="L30" s="296"/>
      <c r="M30" s="57">
        <f>M29</f>
        <v>428456</v>
      </c>
      <c r="R30" s="46"/>
      <c r="V30" s="47"/>
    </row>
    <row r="31" spans="1:22" ht="18.75" x14ac:dyDescent="0.3">
      <c r="A31" s="286" t="s">
        <v>38</v>
      </c>
      <c r="B31" s="287"/>
      <c r="C31" s="271" t="s">
        <v>48</v>
      </c>
      <c r="D31" s="271"/>
      <c r="E31" s="6"/>
      <c r="F31" s="6"/>
      <c r="G31" s="6"/>
      <c r="H31" s="6"/>
      <c r="I31" s="6"/>
      <c r="J31" s="6"/>
      <c r="K31" s="288" t="s">
        <v>22</v>
      </c>
      <c r="L31" s="289"/>
      <c r="M31" s="56">
        <f>(R14*W13+S14*W14)*T14</f>
        <v>7524</v>
      </c>
      <c r="R31" s="47"/>
      <c r="V31" s="47"/>
    </row>
    <row r="32" spans="1:22" ht="16.5" customHeight="1" x14ac:dyDescent="0.3">
      <c r="A32" s="12" t="s">
        <v>46</v>
      </c>
      <c r="B32" s="6"/>
      <c r="C32" s="44" t="s">
        <v>28</v>
      </c>
      <c r="D32" s="6"/>
      <c r="E32" s="6"/>
      <c r="F32" s="6"/>
      <c r="G32" s="6"/>
      <c r="H32" s="6"/>
      <c r="I32" s="6"/>
      <c r="J32" s="6"/>
      <c r="K32" s="276" t="s">
        <v>26</v>
      </c>
      <c r="L32" s="277"/>
      <c r="M32" s="55">
        <v>0</v>
      </c>
      <c r="S32" s="69" t="s">
        <v>82</v>
      </c>
    </row>
    <row r="33" spans="1:19" ht="16.5" customHeight="1" x14ac:dyDescent="0.3">
      <c r="A33" s="15" t="str">
        <f>IF(B1=V1,X3,Y3)</f>
        <v>PAYEE:SINOCHEM TIANJIN CO., LTD</v>
      </c>
      <c r="B33" s="6"/>
      <c r="C33" s="6"/>
      <c r="D33" s="6"/>
      <c r="E33" s="6"/>
      <c r="F33" s="6"/>
      <c r="G33" s="6"/>
      <c r="H33" s="6"/>
      <c r="I33" s="6"/>
      <c r="J33" s="6"/>
      <c r="K33" s="276" t="s">
        <v>27</v>
      </c>
      <c r="L33" s="277"/>
      <c r="M33" s="55">
        <v>0</v>
      </c>
    </row>
    <row r="34" spans="1:19" ht="16.5" customHeight="1" x14ac:dyDescent="0.3">
      <c r="A34" s="16" t="s">
        <v>13</v>
      </c>
      <c r="B34" s="6"/>
      <c r="C34" s="6"/>
      <c r="D34" s="6"/>
      <c r="E34" s="6"/>
      <c r="F34" s="6"/>
      <c r="G34" s="6"/>
      <c r="H34" s="6"/>
      <c r="I34" s="6"/>
      <c r="J34" s="6"/>
      <c r="K34" s="6"/>
      <c r="L34" s="6"/>
      <c r="M34" s="55">
        <v>0</v>
      </c>
    </row>
    <row r="35" spans="1:19" ht="16.5" customHeight="1" x14ac:dyDescent="0.3">
      <c r="A35" s="16" t="s">
        <v>14</v>
      </c>
      <c r="B35" s="6"/>
      <c r="C35" s="6"/>
      <c r="D35" s="6"/>
      <c r="E35" s="6"/>
      <c r="F35" s="6"/>
      <c r="G35" s="6"/>
      <c r="H35" s="6"/>
      <c r="I35" s="6"/>
      <c r="J35" s="6"/>
      <c r="K35" s="6"/>
      <c r="L35" s="6"/>
      <c r="M35" s="55">
        <v>0</v>
      </c>
    </row>
    <row r="36" spans="1:19" ht="16.5" customHeight="1" x14ac:dyDescent="0.3">
      <c r="A36" s="16" t="s">
        <v>15</v>
      </c>
      <c r="B36" s="6"/>
      <c r="C36" s="6"/>
      <c r="D36" s="6"/>
      <c r="E36" s="6"/>
      <c r="F36" s="6"/>
      <c r="G36" s="6"/>
      <c r="H36" s="6"/>
      <c r="I36" s="6"/>
      <c r="J36" s="6"/>
      <c r="K36" s="6"/>
      <c r="L36" s="6"/>
      <c r="M36" s="55">
        <v>0</v>
      </c>
    </row>
    <row r="37" spans="1:19" ht="16.5" customHeight="1" x14ac:dyDescent="0.3">
      <c r="A37" s="16" t="s">
        <v>16</v>
      </c>
      <c r="B37" s="6"/>
      <c r="C37" s="6"/>
      <c r="D37" s="6"/>
      <c r="E37" s="6"/>
      <c r="F37" s="6"/>
      <c r="G37" s="6"/>
      <c r="H37" s="6"/>
      <c r="I37" s="6"/>
      <c r="J37" s="6"/>
      <c r="K37" s="6"/>
      <c r="L37" s="6"/>
      <c r="M37" s="55">
        <v>0</v>
      </c>
      <c r="O37" s="72">
        <v>426655.25</v>
      </c>
    </row>
    <row r="38" spans="1:19" ht="21.75" thickBot="1" x14ac:dyDescent="0.4">
      <c r="A38" s="16" t="str">
        <f>IF(B1=V1,X2,Y2)</f>
        <v>ACCOUNT NUMBER:10002000096220000016</v>
      </c>
      <c r="B38" s="1"/>
      <c r="C38" s="1"/>
      <c r="D38" s="1"/>
      <c r="E38" s="1"/>
      <c r="F38" s="1"/>
      <c r="G38" s="1"/>
      <c r="H38" s="1"/>
      <c r="I38" s="1"/>
      <c r="J38" s="1"/>
      <c r="K38" s="278" t="s">
        <v>25</v>
      </c>
      <c r="L38" s="279"/>
      <c r="M38" s="54">
        <f>SUM(M30+M31)</f>
        <v>435980</v>
      </c>
    </row>
    <row r="39" spans="1:19" ht="18.75" thickBot="1" x14ac:dyDescent="0.35">
      <c r="A39" s="280" t="s">
        <v>83</v>
      </c>
      <c r="B39" s="281"/>
      <c r="C39" s="282" t="e">
        <f ca="1">SpellNumber(M38)</f>
        <v>#NAME?</v>
      </c>
      <c r="D39" s="282"/>
      <c r="E39" s="282"/>
      <c r="F39" s="282"/>
      <c r="G39" s="282"/>
      <c r="H39" s="282"/>
      <c r="I39" s="282"/>
      <c r="J39" s="283"/>
      <c r="K39" s="1"/>
      <c r="L39" s="1"/>
      <c r="M39" s="45" t="s">
        <v>51</v>
      </c>
    </row>
    <row r="40" spans="1:19" x14ac:dyDescent="0.3">
      <c r="A40" s="284"/>
      <c r="B40" s="285"/>
      <c r="C40" s="285"/>
      <c r="D40" s="285"/>
      <c r="E40" s="285"/>
      <c r="F40" s="285"/>
      <c r="G40" s="285"/>
      <c r="H40" s="285"/>
      <c r="I40" s="285"/>
      <c r="J40" s="285"/>
      <c r="K40" s="1"/>
      <c r="L40" s="1"/>
      <c r="M40" s="17"/>
    </row>
    <row r="41" spans="1:19" ht="16.5" x14ac:dyDescent="0.3">
      <c r="A41" s="18" t="s">
        <v>8</v>
      </c>
      <c r="B41" s="5"/>
      <c r="C41" s="5"/>
      <c r="D41" s="5"/>
      <c r="E41" s="5"/>
      <c r="F41" s="5"/>
      <c r="G41" s="5"/>
      <c r="H41" s="5"/>
      <c r="I41" s="5"/>
      <c r="J41" s="5"/>
      <c r="K41" s="5"/>
      <c r="L41" s="5"/>
      <c r="M41" s="19"/>
    </row>
    <row r="42" spans="1:19" x14ac:dyDescent="0.3">
      <c r="A42" s="28" t="s">
        <v>4</v>
      </c>
      <c r="B42" s="27"/>
      <c r="C42" s="27" t="s">
        <v>28</v>
      </c>
      <c r="D42" s="27"/>
      <c r="E42" s="27"/>
      <c r="F42" s="27"/>
      <c r="G42" s="1"/>
      <c r="H42" s="1"/>
      <c r="I42" s="1"/>
      <c r="J42" s="1"/>
      <c r="K42" s="1"/>
      <c r="L42" s="1"/>
      <c r="M42" s="17"/>
    </row>
    <row r="43" spans="1:19" x14ac:dyDescent="0.3">
      <c r="A43" s="28" t="s">
        <v>2</v>
      </c>
      <c r="B43" s="27"/>
      <c r="C43" s="27" t="s">
        <v>28</v>
      </c>
      <c r="D43" s="27"/>
      <c r="E43" s="27"/>
      <c r="F43" s="27"/>
      <c r="G43" s="1"/>
      <c r="H43" s="1"/>
      <c r="I43" s="1"/>
      <c r="J43" s="1"/>
      <c r="K43" s="1"/>
      <c r="L43" s="1"/>
      <c r="M43" s="17"/>
      <c r="S43" t="e">
        <f ca="1">SpellNumber(M38)</f>
        <v>#NAME?</v>
      </c>
    </row>
    <row r="44" spans="1:19" x14ac:dyDescent="0.3">
      <c r="A44" s="28" t="s">
        <v>3</v>
      </c>
      <c r="B44" s="27"/>
      <c r="C44" s="27" t="s">
        <v>29</v>
      </c>
      <c r="D44" s="27"/>
      <c r="E44" s="27"/>
      <c r="F44" s="27"/>
      <c r="G44" s="1"/>
      <c r="H44" s="1"/>
      <c r="I44" s="1"/>
      <c r="J44" s="1"/>
      <c r="K44" s="1"/>
      <c r="L44" s="1"/>
      <c r="M44" s="17"/>
    </row>
    <row r="45" spans="1:19" x14ac:dyDescent="0.3">
      <c r="A45" s="28"/>
      <c r="B45" s="27"/>
      <c r="C45" s="27"/>
      <c r="D45" s="27"/>
      <c r="E45" s="27"/>
      <c r="F45" s="27"/>
      <c r="G45" s="1"/>
      <c r="H45" s="1"/>
      <c r="I45" s="1"/>
      <c r="J45" s="1"/>
      <c r="K45" s="1"/>
      <c r="L45" s="1"/>
      <c r="M45" s="17"/>
      <c r="R45" t="e">
        <f ca="1">SpellNumber(M38)</f>
        <v>#NAME?</v>
      </c>
    </row>
    <row r="46" spans="1:19" x14ac:dyDescent="0.3">
      <c r="A46" s="29" t="s">
        <v>6</v>
      </c>
      <c r="B46" s="26"/>
      <c r="C46" s="271" t="s">
        <v>24</v>
      </c>
      <c r="D46" s="271"/>
      <c r="E46" s="271"/>
      <c r="F46" s="271"/>
      <c r="G46" s="2"/>
      <c r="H46" s="2"/>
      <c r="I46" s="2"/>
      <c r="J46" s="2"/>
      <c r="K46" s="2"/>
      <c r="L46" s="2"/>
      <c r="M46" s="17"/>
      <c r="R46" t="e">
        <f ca="1">SpellNumber(M38)</f>
        <v>#NAME?</v>
      </c>
    </row>
    <row r="47" spans="1:19" x14ac:dyDescent="0.3">
      <c r="A47" s="20"/>
      <c r="B47" s="2"/>
      <c r="C47" s="2"/>
      <c r="D47" s="2"/>
      <c r="E47" s="2"/>
      <c r="F47" s="2"/>
      <c r="G47" s="2"/>
      <c r="H47" s="2"/>
      <c r="I47" s="2"/>
      <c r="J47" s="2"/>
      <c r="K47" s="2"/>
      <c r="L47" s="2"/>
      <c r="M47" s="17"/>
      <c r="R47" t="e">
        <f ca="1">SpellNumber(M38)</f>
        <v>#NAME?</v>
      </c>
    </row>
    <row r="48" spans="1:19" ht="15" customHeight="1" x14ac:dyDescent="0.3">
      <c r="A48" s="272" t="s">
        <v>30</v>
      </c>
      <c r="B48" s="273"/>
      <c r="C48" s="273"/>
      <c r="D48" s="273"/>
      <c r="E48" s="273"/>
      <c r="F48" s="273"/>
      <c r="G48" s="273"/>
      <c r="H48" s="78"/>
      <c r="I48" s="2"/>
      <c r="J48" s="2"/>
      <c r="K48" s="2"/>
      <c r="L48" s="2"/>
      <c r="M48" s="17"/>
    </row>
    <row r="49" spans="1:13" x14ac:dyDescent="0.3">
      <c r="A49" s="272"/>
      <c r="B49" s="273"/>
      <c r="C49" s="273"/>
      <c r="D49" s="273"/>
      <c r="E49" s="273"/>
      <c r="F49" s="273"/>
      <c r="G49" s="273"/>
      <c r="H49" s="78"/>
      <c r="I49" s="2"/>
      <c r="J49" s="2"/>
      <c r="K49" s="2"/>
      <c r="L49" s="2"/>
      <c r="M49" s="17"/>
    </row>
    <row r="50" spans="1:13" x14ac:dyDescent="0.3">
      <c r="A50" s="272"/>
      <c r="B50" s="273"/>
      <c r="C50" s="273"/>
      <c r="D50" s="273"/>
      <c r="E50" s="273"/>
      <c r="F50" s="273"/>
      <c r="G50" s="273"/>
      <c r="H50" s="78"/>
      <c r="I50" s="2"/>
      <c r="J50" s="2"/>
      <c r="K50" s="2"/>
      <c r="L50" s="2"/>
      <c r="M50" s="17"/>
    </row>
    <row r="51" spans="1:13" x14ac:dyDescent="0.3">
      <c r="A51" s="21" t="s">
        <v>92</v>
      </c>
      <c r="B51" s="4"/>
      <c r="C51" s="2"/>
      <c r="D51" s="2"/>
      <c r="E51" s="2"/>
      <c r="F51" s="2"/>
      <c r="G51" s="2"/>
      <c r="H51" s="2"/>
      <c r="I51" s="2"/>
      <c r="J51" s="2"/>
      <c r="K51" s="2"/>
      <c r="L51" s="2"/>
      <c r="M51" s="17"/>
    </row>
    <row r="52" spans="1:13" ht="15.75" thickBot="1" x14ac:dyDescent="0.35">
      <c r="A52" s="274" t="str">
        <f>IF(B1=V1,X1,Y1)</f>
        <v>SINOCHEM TIANJIN CO., LTD</v>
      </c>
      <c r="B52" s="275">
        <f>IF(C51=W51,Y51,Z51)</f>
        <v>0</v>
      </c>
      <c r="C52" s="275">
        <f>IF(D51=X51,Z51,AA51)</f>
        <v>0</v>
      </c>
      <c r="D52" s="275">
        <f>IF(E51=Y51,AA51,AB51)</f>
        <v>0</v>
      </c>
      <c r="E52" s="24"/>
      <c r="F52" s="22"/>
      <c r="G52" s="22"/>
      <c r="H52" s="22"/>
      <c r="I52" s="22"/>
      <c r="J52" s="22"/>
      <c r="K52" s="22"/>
      <c r="L52" s="22"/>
      <c r="M52" s="23"/>
    </row>
  </sheetData>
  <mergeCells count="53">
    <mergeCell ref="K10:L10"/>
    <mergeCell ref="K11:L11"/>
    <mergeCell ref="K12:L12"/>
    <mergeCell ref="K13:L13"/>
    <mergeCell ref="B1:F1"/>
    <mergeCell ref="L2:M2"/>
    <mergeCell ref="L3:M3"/>
    <mergeCell ref="J5:K5"/>
    <mergeCell ref="L5:M5"/>
    <mergeCell ref="O13:P14"/>
    <mergeCell ref="K14:L14"/>
    <mergeCell ref="B16:D16"/>
    <mergeCell ref="E16:F16"/>
    <mergeCell ref="B17:D17"/>
    <mergeCell ref="E17:F17"/>
    <mergeCell ref="K15:L15"/>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A31:B31"/>
    <mergeCell ref="C31:D31"/>
    <mergeCell ref="K31:L31"/>
    <mergeCell ref="B25:D25"/>
    <mergeCell ref="E25:F25"/>
    <mergeCell ref="B26:D26"/>
    <mergeCell ref="E26:F26"/>
    <mergeCell ref="B27:D27"/>
    <mergeCell ref="E27:F27"/>
    <mergeCell ref="B28:D28"/>
    <mergeCell ref="E28:F28"/>
    <mergeCell ref="A30:B30"/>
    <mergeCell ref="C30:D30"/>
    <mergeCell ref="K30:L30"/>
    <mergeCell ref="C46:F46"/>
    <mergeCell ref="A48:G50"/>
    <mergeCell ref="A52:D52"/>
    <mergeCell ref="K32:L32"/>
    <mergeCell ref="K33:L33"/>
    <mergeCell ref="K38:L38"/>
    <mergeCell ref="A39:B39"/>
    <mergeCell ref="C39:J39"/>
    <mergeCell ref="A40:J40"/>
  </mergeCells>
  <dataValidations count="2">
    <dataValidation type="list" allowBlank="1" showInputMessage="1" showErrorMessage="1" sqref="H17:H28" xr:uid="{00000000-0002-0000-0B00-000000000000}">
      <formula1>$P$5:$P$7</formula1>
    </dataValidation>
    <dataValidation type="list" allowBlank="1" showInputMessage="1" showErrorMessage="1" sqref="B1:F1" xr:uid="{00000000-0002-0000-0B00-000001000000}">
      <formula1>$V$1:$W$1</formula1>
    </dataValidation>
  </dataValidations>
  <printOptions horizontalCentered="1"/>
  <pageMargins left="0.51181102362204722" right="0.51181102362204722" top="0.51181102362204722" bottom="0.51181102362204722" header="0.51181102362204722" footer="0.23622047244094491"/>
  <pageSetup scale="65" fitToHeight="0"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pageSetUpPr fitToPage="1"/>
  </sheetPr>
  <dimension ref="A1:Y52"/>
  <sheetViews>
    <sheetView showGridLines="0" topLeftCell="A26" zoomScale="85" zoomScaleNormal="85" workbookViewId="0">
      <selection activeCell="B1" sqref="B1:F1"/>
    </sheetView>
  </sheetViews>
  <sheetFormatPr defaultRowHeight="15" x14ac:dyDescent="0.3"/>
  <cols>
    <col min="1" max="3" width="11.42578125" customWidth="1"/>
    <col min="4" max="4" width="13.5703125" customWidth="1"/>
    <col min="5" max="5" width="11.42578125" customWidth="1"/>
    <col min="6" max="6" width="17" customWidth="1"/>
    <col min="7" max="7" width="8.140625" bestFit="1" customWidth="1"/>
    <col min="8" max="8" width="8.140625" customWidth="1"/>
    <col min="9" max="12" width="11.42578125" customWidth="1"/>
    <col min="13" max="13" width="16.85546875" customWidth="1"/>
    <col min="14" max="14" width="10.85546875" bestFit="1" customWidth="1"/>
    <col min="15" max="15" width="9.85546875" bestFit="1" customWidth="1"/>
    <col min="18" max="18" width="11.85546875" bestFit="1" customWidth="1"/>
    <col min="22" max="22" width="13.7109375" bestFit="1" customWidth="1"/>
  </cols>
  <sheetData>
    <row r="1" spans="1:25" ht="78" customHeight="1" x14ac:dyDescent="0.45">
      <c r="A1" s="8"/>
      <c r="B1" s="306" t="s">
        <v>108</v>
      </c>
      <c r="C1" s="306"/>
      <c r="D1" s="306"/>
      <c r="E1" s="306"/>
      <c r="F1" s="306"/>
      <c r="G1" s="84"/>
      <c r="H1" s="84"/>
      <c r="I1" s="84"/>
      <c r="J1" s="84"/>
      <c r="K1" s="84"/>
      <c r="L1" s="84"/>
      <c r="M1" s="30" t="s">
        <v>7</v>
      </c>
      <c r="V1" s="87" t="s">
        <v>74</v>
      </c>
      <c r="W1" s="88" t="s">
        <v>108</v>
      </c>
      <c r="X1" s="38" t="s">
        <v>69</v>
      </c>
      <c r="Y1" s="38" t="s">
        <v>109</v>
      </c>
    </row>
    <row r="2" spans="1:25" ht="16.5" x14ac:dyDescent="0.3">
      <c r="A2" s="38" t="str">
        <f>IF(B1=V1,X1,Y1)</f>
        <v>SINOCHEM TIANJIN CO., LTD</v>
      </c>
      <c r="B2" s="39"/>
      <c r="C2" s="39"/>
      <c r="D2" s="9"/>
      <c r="E2" s="9"/>
      <c r="F2" s="9"/>
      <c r="G2" s="9"/>
      <c r="H2" s="9"/>
      <c r="I2" s="9"/>
      <c r="J2" s="35"/>
      <c r="K2" s="36" t="s">
        <v>45</v>
      </c>
      <c r="L2" s="307">
        <v>42278</v>
      </c>
      <c r="M2" s="308"/>
      <c r="X2" s="89" t="s">
        <v>110</v>
      </c>
      <c r="Y2" s="89" t="s">
        <v>111</v>
      </c>
    </row>
    <row r="3" spans="1:25" ht="16.5" x14ac:dyDescent="0.3">
      <c r="A3" s="40" t="s">
        <v>11</v>
      </c>
      <c r="B3" s="41"/>
      <c r="C3" s="41"/>
      <c r="D3" s="10"/>
      <c r="E3" s="10"/>
      <c r="F3" s="10"/>
      <c r="G3" s="10"/>
      <c r="H3" s="10"/>
      <c r="I3" s="10"/>
      <c r="J3" s="37"/>
      <c r="K3" s="36" t="s">
        <v>44</v>
      </c>
      <c r="L3" s="307" t="s">
        <v>96</v>
      </c>
      <c r="M3" s="308"/>
      <c r="X3" s="38" t="s">
        <v>112</v>
      </c>
      <c r="Y3" s="38" t="s">
        <v>113</v>
      </c>
    </row>
    <row r="4" spans="1:25" ht="15" customHeight="1" x14ac:dyDescent="0.3">
      <c r="A4" s="40" t="s">
        <v>12</v>
      </c>
      <c r="B4" s="41"/>
      <c r="C4" s="41"/>
      <c r="D4" s="9"/>
      <c r="E4" s="9"/>
      <c r="F4" s="9"/>
      <c r="G4" s="9"/>
      <c r="H4" s="9"/>
      <c r="I4" s="9"/>
      <c r="J4" s="35"/>
      <c r="K4" s="36" t="s">
        <v>47</v>
      </c>
      <c r="L4" s="79" t="s">
        <v>98</v>
      </c>
      <c r="M4" s="77" t="s">
        <v>123</v>
      </c>
    </row>
    <row r="5" spans="1:25" ht="16.5" x14ac:dyDescent="0.3">
      <c r="A5" s="40" t="s">
        <v>10</v>
      </c>
      <c r="B5" s="41"/>
      <c r="C5" s="41"/>
      <c r="D5" s="9"/>
      <c r="E5" s="9"/>
      <c r="F5" s="9"/>
      <c r="G5" s="9"/>
      <c r="H5" s="9"/>
      <c r="I5" s="9"/>
      <c r="J5" s="309"/>
      <c r="K5" s="309"/>
      <c r="L5" s="310"/>
      <c r="M5" s="311"/>
      <c r="P5" t="s">
        <v>105</v>
      </c>
    </row>
    <row r="6" spans="1:25" ht="16.5" x14ac:dyDescent="0.3">
      <c r="A6" s="40" t="s">
        <v>9</v>
      </c>
      <c r="B6" s="41"/>
      <c r="C6" s="41"/>
      <c r="D6" s="9"/>
      <c r="E6" s="9"/>
      <c r="F6" s="9"/>
      <c r="G6" s="9"/>
      <c r="H6" s="9"/>
      <c r="I6" s="9"/>
      <c r="J6" s="9"/>
      <c r="K6" s="9"/>
      <c r="L6" s="9"/>
      <c r="M6" s="11"/>
      <c r="P6" t="s">
        <v>106</v>
      </c>
    </row>
    <row r="7" spans="1:25" x14ac:dyDescent="0.3">
      <c r="A7" s="12"/>
      <c r="B7" s="1"/>
      <c r="C7" s="1"/>
      <c r="D7" s="9"/>
      <c r="E7" s="9"/>
      <c r="F7" s="9"/>
      <c r="G7" s="9"/>
      <c r="H7" s="9"/>
      <c r="I7" s="9"/>
      <c r="J7" s="9"/>
      <c r="K7" s="9"/>
      <c r="L7" s="9"/>
      <c r="M7" s="11"/>
      <c r="P7" t="s">
        <v>89</v>
      </c>
    </row>
    <row r="8" spans="1:25" x14ac:dyDescent="0.3">
      <c r="A8" s="12"/>
      <c r="B8" s="1"/>
      <c r="C8" s="1"/>
      <c r="D8" s="1"/>
      <c r="E8" s="1"/>
      <c r="F8" s="1"/>
      <c r="G8" s="1"/>
      <c r="H8" s="1"/>
      <c r="I8" s="1"/>
      <c r="J8" s="1"/>
      <c r="K8" s="1"/>
      <c r="L8" s="1"/>
      <c r="M8" s="11"/>
    </row>
    <row r="9" spans="1:25" ht="16.5" x14ac:dyDescent="0.3">
      <c r="A9" s="13" t="s">
        <v>1</v>
      </c>
      <c r="B9" s="3"/>
      <c r="C9" s="3"/>
      <c r="D9" s="3"/>
      <c r="E9" s="3"/>
      <c r="F9" s="3"/>
      <c r="G9" s="3"/>
      <c r="H9" s="3"/>
      <c r="I9" s="3"/>
      <c r="J9" s="3"/>
      <c r="K9" s="3"/>
      <c r="L9" s="3" t="s">
        <v>31</v>
      </c>
      <c r="M9" s="34"/>
    </row>
    <row r="10" spans="1:25" ht="16.5" x14ac:dyDescent="0.3">
      <c r="A10" s="40" t="s">
        <v>88</v>
      </c>
      <c r="B10" s="41"/>
      <c r="C10" s="41"/>
      <c r="D10" s="9"/>
      <c r="E10" s="9"/>
      <c r="F10" s="9"/>
      <c r="G10" s="9"/>
      <c r="H10" s="9"/>
      <c r="I10" s="9"/>
      <c r="J10" s="9"/>
      <c r="K10" s="299" t="s">
        <v>32</v>
      </c>
      <c r="L10" s="299"/>
      <c r="M10" s="59" t="s">
        <v>34</v>
      </c>
    </row>
    <row r="11" spans="1:25" ht="16.5" customHeight="1" x14ac:dyDescent="0.3">
      <c r="A11" s="40" t="s">
        <v>86</v>
      </c>
      <c r="B11" s="41"/>
      <c r="C11" s="41"/>
      <c r="D11" s="9"/>
      <c r="E11" s="9"/>
      <c r="F11" s="9"/>
      <c r="G11" s="9"/>
      <c r="H11" s="9"/>
      <c r="I11" s="9"/>
      <c r="J11" s="9"/>
      <c r="K11" s="299" t="s">
        <v>42</v>
      </c>
      <c r="L11" s="299"/>
      <c r="M11" s="59" t="s">
        <v>43</v>
      </c>
    </row>
    <row r="12" spans="1:25" ht="16.5" customHeight="1" x14ac:dyDescent="0.3">
      <c r="A12" s="40" t="s">
        <v>87</v>
      </c>
      <c r="B12" s="41"/>
      <c r="C12" s="41"/>
      <c r="D12" s="9"/>
      <c r="E12" s="9"/>
      <c r="F12" s="9"/>
      <c r="G12" s="9"/>
      <c r="H12" s="9"/>
      <c r="I12" s="9"/>
      <c r="J12" s="9"/>
      <c r="K12" s="299" t="s">
        <v>41</v>
      </c>
      <c r="L12" s="299"/>
      <c r="M12" s="61">
        <f xml:space="preserve"> K29</f>
        <v>12720</v>
      </c>
      <c r="W12" t="s">
        <v>80</v>
      </c>
      <c r="Y12" t="s">
        <v>36</v>
      </c>
    </row>
    <row r="13" spans="1:25" ht="16.5" customHeight="1" x14ac:dyDescent="0.3">
      <c r="A13" s="40" t="s">
        <v>85</v>
      </c>
      <c r="B13" s="41"/>
      <c r="C13" s="41"/>
      <c r="D13" s="9"/>
      <c r="E13" s="9"/>
      <c r="F13" s="9"/>
      <c r="G13" s="9"/>
      <c r="H13" s="9"/>
      <c r="I13" s="9"/>
      <c r="J13" s="9"/>
      <c r="K13" s="299" t="s">
        <v>35</v>
      </c>
      <c r="L13" s="299"/>
      <c r="M13" s="60" t="str">
        <f>IF(K29/J29=1.06,"Cartons",IF(K29/J29&gt;=1.12,"Drums","Cartons &amp; Drums"))</f>
        <v>Cartons</v>
      </c>
      <c r="O13" s="215" t="s">
        <v>77</v>
      </c>
      <c r="P13" s="215"/>
      <c r="Q13" s="83"/>
      <c r="R13" s="64" t="s">
        <v>78</v>
      </c>
      <c r="S13" s="65" t="s">
        <v>76</v>
      </c>
      <c r="T13" t="s">
        <v>95</v>
      </c>
      <c r="V13" s="51" t="s">
        <v>75</v>
      </c>
      <c r="W13" s="50">
        <v>19800</v>
      </c>
      <c r="Y13" t="s">
        <v>67</v>
      </c>
    </row>
    <row r="14" spans="1:25" ht="16.5" customHeight="1" x14ac:dyDescent="0.3">
      <c r="A14" s="42" t="s">
        <v>84</v>
      </c>
      <c r="B14" s="43"/>
      <c r="C14" s="41"/>
      <c r="D14" s="9"/>
      <c r="E14" s="9"/>
      <c r="F14" s="9"/>
      <c r="G14" s="9"/>
      <c r="H14" s="9"/>
      <c r="I14" s="9"/>
      <c r="J14" s="9"/>
      <c r="K14" s="299" t="s">
        <v>33</v>
      </c>
      <c r="L14" s="299"/>
      <c r="M14" s="60">
        <f>J29/25</f>
        <v>480</v>
      </c>
      <c r="O14" s="215"/>
      <c r="P14" s="215"/>
      <c r="Q14" s="83"/>
      <c r="R14" s="83">
        <v>1</v>
      </c>
      <c r="S14" s="66"/>
      <c r="T14">
        <v>0.5</v>
      </c>
      <c r="V14" s="51" t="s">
        <v>76</v>
      </c>
      <c r="W14" s="50">
        <v>15000</v>
      </c>
      <c r="Y14" t="s">
        <v>91</v>
      </c>
    </row>
    <row r="15" spans="1:25" ht="12" customHeight="1" x14ac:dyDescent="0.3">
      <c r="A15" s="12"/>
      <c r="B15" s="1"/>
      <c r="C15" s="43"/>
      <c r="D15" s="1"/>
      <c r="E15" s="1"/>
      <c r="F15" s="1"/>
      <c r="G15" s="1"/>
      <c r="H15" s="1"/>
      <c r="I15" s="1"/>
      <c r="J15" s="1"/>
      <c r="K15" s="299"/>
      <c r="L15" s="299"/>
      <c r="M15" s="59"/>
      <c r="Y15" t="s">
        <v>89</v>
      </c>
    </row>
    <row r="16" spans="1:25" ht="48.75" customHeight="1" x14ac:dyDescent="0.3">
      <c r="A16" s="31" t="s">
        <v>17</v>
      </c>
      <c r="B16" s="312" t="s">
        <v>0</v>
      </c>
      <c r="C16" s="312"/>
      <c r="D16" s="312"/>
      <c r="E16" s="312" t="s">
        <v>39</v>
      </c>
      <c r="F16" s="312"/>
      <c r="G16" s="32" t="s">
        <v>18</v>
      </c>
      <c r="H16" s="32" t="s">
        <v>104</v>
      </c>
      <c r="I16" s="32" t="s">
        <v>19</v>
      </c>
      <c r="J16" s="32" t="s">
        <v>20</v>
      </c>
      <c r="K16" s="32" t="s">
        <v>23</v>
      </c>
      <c r="L16" s="32" t="s">
        <v>49</v>
      </c>
      <c r="M16" s="33" t="s">
        <v>50</v>
      </c>
      <c r="O16" s="32" t="s">
        <v>72</v>
      </c>
      <c r="P16" s="32" t="s">
        <v>81</v>
      </c>
      <c r="Q16" s="32" t="s">
        <v>94</v>
      </c>
      <c r="R16" s="32" t="s">
        <v>93</v>
      </c>
      <c r="S16" s="32" t="s">
        <v>73</v>
      </c>
    </row>
    <row r="17" spans="1:22" s="50" customFormat="1" ht="30" customHeight="1" x14ac:dyDescent="0.3">
      <c r="A17" s="67">
        <v>2992</v>
      </c>
      <c r="B17" s="290" t="e">
        <f>IF(A17:A28="","",IF(L$4="sys/",VLOOKUP(A17:A28,#REF!,4,FALSE)))</f>
        <v>#REF!</v>
      </c>
      <c r="C17" s="291"/>
      <c r="D17" s="292"/>
      <c r="E17" s="293" t="e">
        <f>IF(A17:A28="","",IF(L$4="sys/",VLOOKUP(A17:A28,#REF!,7,FALSE)))</f>
        <v>#REF!</v>
      </c>
      <c r="F17" s="294"/>
      <c r="G17" s="53" t="e">
        <f>IF(A17:A28="","",IF(L$4="sys/",VLOOKUP(A17:A28,#REF!,9,FALSE)))</f>
        <v>#REF!</v>
      </c>
      <c r="H17" s="53" t="s">
        <v>105</v>
      </c>
      <c r="I17" s="53" t="e">
        <f>IF(A17:A28="","",IF(L$4="sys/",VLOOKUP(A17:A28,#REF!,8,FALSE)))</f>
        <v>#REF!</v>
      </c>
      <c r="J17" s="52">
        <v>12000</v>
      </c>
      <c r="K17" s="52">
        <f>IF(H17="","",IF(H17="carton",(J17*26.5/25),IF(H17="drum",J17*28/25,IF(H17="bale",0))))</f>
        <v>12720</v>
      </c>
      <c r="L17" s="86" t="str">
        <f>FIXED(O17-(M$31/J$29),2,1)</f>
        <v>37.18</v>
      </c>
      <c r="M17" s="74">
        <f>J17*L17</f>
        <v>446160</v>
      </c>
      <c r="N17" s="49"/>
      <c r="O17" s="70">
        <v>38</v>
      </c>
      <c r="P17" s="48"/>
      <c r="Q17" s="73"/>
      <c r="R17" s="63" t="e">
        <f>(O17-P17)/P17+Q17</f>
        <v>#DIV/0!</v>
      </c>
      <c r="S17" s="50" t="e">
        <f>O17*J17*R17</f>
        <v>#DIV/0!</v>
      </c>
      <c r="T17" s="50">
        <f>O17*J17</f>
        <v>456000</v>
      </c>
    </row>
    <row r="18" spans="1:22" s="50" customFormat="1" ht="30" customHeight="1" x14ac:dyDescent="0.3">
      <c r="A18" s="68"/>
      <c r="B18" s="290" t="str">
        <f>IF(A18:A29="","",IF(L$4="sys/",VLOOKUP(A18:A29,#REF!,4,FALSE)))</f>
        <v/>
      </c>
      <c r="C18" s="291"/>
      <c r="D18" s="292"/>
      <c r="E18" s="293" t="str">
        <f>IF(A18:A29="","",IF(L$4="sys/",VLOOKUP(A18:A29,#REF!,7,FALSE)))</f>
        <v/>
      </c>
      <c r="F18" s="294"/>
      <c r="G18" s="53" t="str">
        <f>IF(A18:A29="","",IF(L$4="sys/",VLOOKUP(A18:A29,#REF!,9,FALSE)))</f>
        <v/>
      </c>
      <c r="H18" s="53"/>
      <c r="I18" s="53" t="str">
        <f>IF(A18:A29="","",IF(L$4="sys/",VLOOKUP(A18:A29,#REF!,8,FALSE)))</f>
        <v/>
      </c>
      <c r="J18" s="53"/>
      <c r="K18" s="53" t="str">
        <f t="shared" ref="K18:K28" si="0">IF(H18="","",IF(H18="carton",(J18*26.5/25),IF(H18="drum",J18*28/25,IF(H18="bale",0))))</f>
        <v/>
      </c>
      <c r="L18" s="85"/>
      <c r="M18" s="74"/>
      <c r="N18" s="49"/>
      <c r="O18" s="70"/>
      <c r="P18" s="48"/>
      <c r="Q18" s="73"/>
      <c r="R18" s="63" t="e">
        <f>(O18-P18)/P18+Q18</f>
        <v>#DIV/0!</v>
      </c>
      <c r="S18" s="50" t="e">
        <f>O18*J18*R18</f>
        <v>#DIV/0!</v>
      </c>
      <c r="T18" s="50">
        <f>O18*J18</f>
        <v>0</v>
      </c>
    </row>
    <row r="19" spans="1:22" s="50" customFormat="1" ht="30" customHeight="1" x14ac:dyDescent="0.3">
      <c r="A19" s="68"/>
      <c r="B19" s="290" t="str">
        <f>IF(A19:A30="","",IF(L$4="sys/",VLOOKUP(A19:A30,#REF!,4,FALSE)))</f>
        <v/>
      </c>
      <c r="C19" s="291"/>
      <c r="D19" s="292"/>
      <c r="E19" s="293" t="str">
        <f>IF(A19:A30="","",IF(L$4="sys/",VLOOKUP(A19:A30,#REF!,7,FALSE)))</f>
        <v/>
      </c>
      <c r="F19" s="294"/>
      <c r="G19" s="53" t="str">
        <f>IF(A19:A30="","",IF(L$4="sys/",VLOOKUP(A19:A30,#REF!,9,FALSE)))</f>
        <v/>
      </c>
      <c r="H19" s="53"/>
      <c r="I19" s="53" t="str">
        <f>IF(A19:A30="","",IF(L$4="sys/",VLOOKUP(A19:A30,#REF!,8,FALSE)))</f>
        <v/>
      </c>
      <c r="J19" s="53"/>
      <c r="K19" s="53" t="str">
        <f t="shared" si="0"/>
        <v/>
      </c>
      <c r="L19" s="85"/>
      <c r="M19" s="74"/>
      <c r="N19" s="49"/>
      <c r="O19" s="70"/>
      <c r="P19" s="48"/>
      <c r="Q19" s="73"/>
      <c r="R19" s="63" t="e">
        <f>(O19-P19)/P19+Q19</f>
        <v>#DIV/0!</v>
      </c>
      <c r="S19" s="50" t="e">
        <f>O19*J19*R19</f>
        <v>#DIV/0!</v>
      </c>
      <c r="T19" s="50">
        <f>O19*J19</f>
        <v>0</v>
      </c>
      <c r="V19" s="51"/>
    </row>
    <row r="20" spans="1:22" s="50" customFormat="1" ht="30" customHeight="1" x14ac:dyDescent="0.3">
      <c r="A20" s="68"/>
      <c r="B20" s="290" t="str">
        <f>IF(A20:A31="","",IF(L$4="sys/",VLOOKUP(A20:A31,#REF!,4,FALSE)))</f>
        <v/>
      </c>
      <c r="C20" s="291"/>
      <c r="D20" s="292"/>
      <c r="E20" s="293" t="str">
        <f>IF(A20:A31="","",IF(L$4="sys/",VLOOKUP(A20:A31,#REF!,7,FALSE)))</f>
        <v/>
      </c>
      <c r="F20" s="294"/>
      <c r="G20" s="53" t="str">
        <f>IF(A20:A31="","",IF(L$4="sys/",VLOOKUP(A20:A31,#REF!,9,FALSE)))</f>
        <v/>
      </c>
      <c r="H20" s="53"/>
      <c r="I20" s="53" t="str">
        <f>IF(A20:A31="","",IF(L$4="sys/",VLOOKUP(A20:A31,#REF!,8,FALSE)))</f>
        <v/>
      </c>
      <c r="J20" s="53"/>
      <c r="K20" s="53" t="str">
        <f t="shared" si="0"/>
        <v/>
      </c>
      <c r="L20" s="85"/>
      <c r="M20" s="74"/>
      <c r="N20" s="49"/>
      <c r="O20" s="70"/>
      <c r="P20" s="48"/>
      <c r="Q20" s="73"/>
      <c r="R20" s="63" t="e">
        <f>(O20-P20)/P20+Q20</f>
        <v>#DIV/0!</v>
      </c>
      <c r="S20" s="50" t="e">
        <f>O20*J20*R20</f>
        <v>#DIV/0!</v>
      </c>
      <c r="T20" s="50">
        <f>O20*J20</f>
        <v>0</v>
      </c>
    </row>
    <row r="21" spans="1:22" s="50" customFormat="1" ht="30" customHeight="1" x14ac:dyDescent="0.3">
      <c r="A21" s="68"/>
      <c r="B21" s="290" t="str">
        <f>IF(A21:A32="","",IF(L$4="sys/",VLOOKUP(A21:A32,#REF!,4,FALSE)))</f>
        <v/>
      </c>
      <c r="C21" s="291"/>
      <c r="D21" s="292"/>
      <c r="E21" s="293" t="str">
        <f>IF(A21:A32="","",IF(L$4="sys/",VLOOKUP(A21:A32,#REF!,7,FALSE)))</f>
        <v/>
      </c>
      <c r="F21" s="294"/>
      <c r="G21" s="53" t="str">
        <f>IF(A21:A32="","",IF(L$4="sys/",VLOOKUP(A21:A32,#REF!,9,FALSE)))</f>
        <v/>
      </c>
      <c r="H21" s="53"/>
      <c r="I21" s="53" t="str">
        <f>IF(A21:A32="","",IF(L$4="sys/",VLOOKUP(A21:A32,#REF!,8,FALSE)))</f>
        <v/>
      </c>
      <c r="J21" s="53"/>
      <c r="K21" s="53" t="str">
        <f t="shared" si="0"/>
        <v/>
      </c>
      <c r="L21" s="85"/>
      <c r="M21" s="74"/>
      <c r="N21" s="49"/>
      <c r="O21" s="70"/>
      <c r="P21" s="48"/>
      <c r="Q21" s="73"/>
      <c r="R21" s="63" t="e">
        <f>(#REF!-P21)/P21+Q21</f>
        <v>#REF!</v>
      </c>
      <c r="S21" s="50" t="e">
        <f>#REF!*#REF!*R21</f>
        <v>#REF!</v>
      </c>
      <c r="T21" s="50" t="e">
        <f>#REF!*#REF!</f>
        <v>#REF!</v>
      </c>
      <c r="V21" s="51"/>
    </row>
    <row r="22" spans="1:22" s="50" customFormat="1" ht="30" customHeight="1" x14ac:dyDescent="0.3">
      <c r="A22" s="68"/>
      <c r="B22" s="290" t="str">
        <f>IF(A22:A33="","",IF(L$4="sys/",VLOOKUP(A22:A33,#REF!,4,FALSE)))</f>
        <v/>
      </c>
      <c r="C22" s="291"/>
      <c r="D22" s="292"/>
      <c r="E22" s="293" t="str">
        <f>IF(A22:A33="","",IF(L$4="sys/",VLOOKUP(A22:A33,#REF!,7,FALSE)))</f>
        <v/>
      </c>
      <c r="F22" s="294"/>
      <c r="G22" s="53" t="str">
        <f>IF(A22:A33="","",IF(L$4="sys/",VLOOKUP(A22:A33,#REF!,9,FALSE)))</f>
        <v/>
      </c>
      <c r="H22" s="53"/>
      <c r="I22" s="53" t="str">
        <f>IF(A22:A33="","",IF(L$4="sys/",VLOOKUP(A22:A33,#REF!,8,FALSE)))</f>
        <v/>
      </c>
      <c r="J22" s="53"/>
      <c r="K22" s="53" t="str">
        <f t="shared" si="0"/>
        <v/>
      </c>
      <c r="L22" s="85"/>
      <c r="M22" s="74"/>
      <c r="N22" s="49"/>
      <c r="P22" s="48"/>
      <c r="Q22" s="73"/>
      <c r="R22" s="63" t="e">
        <f t="shared" ref="R22:R27" si="1">(O21-P22)/P22+Q22</f>
        <v>#DIV/0!</v>
      </c>
      <c r="S22" s="50" t="e">
        <f>O21*J21*R22</f>
        <v>#DIV/0!</v>
      </c>
      <c r="T22" s="50">
        <f>O21*J21</f>
        <v>0</v>
      </c>
      <c r="V22" s="51">
        <f>M38*5.5%</f>
        <v>25083.3</v>
      </c>
    </row>
    <row r="23" spans="1:22" s="50" customFormat="1" ht="30" customHeight="1" x14ac:dyDescent="0.3">
      <c r="A23" s="68"/>
      <c r="B23" s="290" t="str">
        <f>IF(A23:A34="","",IF(L$4="sys/",VLOOKUP(A23:A34,#REF!,4,FALSE)))</f>
        <v/>
      </c>
      <c r="C23" s="291"/>
      <c r="D23" s="292"/>
      <c r="E23" s="293" t="str">
        <f>IF(A23:A34="","",IF(L$4="sys/",VLOOKUP(A23:A34,#REF!,7,FALSE)))</f>
        <v/>
      </c>
      <c r="F23" s="294"/>
      <c r="G23" s="53" t="str">
        <f>IF(A23:A34="","",IF(L$4="sys/",VLOOKUP(A23:A34,#REF!,9,FALSE)))</f>
        <v/>
      </c>
      <c r="H23" s="53"/>
      <c r="I23" s="53" t="str">
        <f>IF(A23:A34="","",IF(L$4="sys/",VLOOKUP(A23:A34,#REF!,8,FALSE)))</f>
        <v/>
      </c>
      <c r="J23" s="53"/>
      <c r="K23" s="53" t="str">
        <f t="shared" si="0"/>
        <v/>
      </c>
      <c r="L23" s="85"/>
      <c r="M23" s="74"/>
      <c r="N23" s="49"/>
      <c r="Q23" s="73"/>
      <c r="R23" s="63" t="e">
        <f t="shared" si="1"/>
        <v>#DIV/0!</v>
      </c>
      <c r="S23" s="50" t="e">
        <f>O22*J22*R23</f>
        <v>#DIV/0!</v>
      </c>
      <c r="T23" s="50">
        <f>O22*J22</f>
        <v>0</v>
      </c>
      <c r="V23" s="51" t="e">
        <f>S29-V22</f>
        <v>#DIV/0!</v>
      </c>
    </row>
    <row r="24" spans="1:22" s="50" customFormat="1" ht="30" customHeight="1" x14ac:dyDescent="0.3">
      <c r="A24" s="68"/>
      <c r="B24" s="290" t="str">
        <f>IF(A24:A35="","",IF(L$4="sys/",VLOOKUP(A24:A35,#REF!,4,FALSE)))</f>
        <v/>
      </c>
      <c r="C24" s="291"/>
      <c r="D24" s="292"/>
      <c r="E24" s="293" t="str">
        <f>IF(A24:A35="","",IF(L$4="sys/",VLOOKUP(A24:A35,#REF!,7,FALSE)))</f>
        <v/>
      </c>
      <c r="F24" s="294"/>
      <c r="G24" s="53" t="str">
        <f>IF(A24:A35="","",IF(L$4="sys/",VLOOKUP(A24:A35,#REF!,9,FALSE)))</f>
        <v/>
      </c>
      <c r="H24" s="53"/>
      <c r="I24" s="53" t="str">
        <f>IF(A24:A35="","",IF(L$4="sys/",VLOOKUP(A24:A35,#REF!,8,FALSE)))</f>
        <v/>
      </c>
      <c r="J24" s="53"/>
      <c r="K24" s="53" t="str">
        <f t="shared" si="0"/>
        <v/>
      </c>
      <c r="L24" s="85"/>
      <c r="M24" s="74"/>
      <c r="N24" s="49"/>
      <c r="Q24" s="73"/>
      <c r="R24" s="63" t="e">
        <f t="shared" si="1"/>
        <v>#DIV/0!</v>
      </c>
      <c r="S24" s="50" t="e">
        <f>O23*J23*R24</f>
        <v>#DIV/0!</v>
      </c>
      <c r="T24" s="50">
        <f>O23*J23</f>
        <v>0</v>
      </c>
      <c r="V24" s="51"/>
    </row>
    <row r="25" spans="1:22" s="50" customFormat="1" ht="30" customHeight="1" x14ac:dyDescent="0.3">
      <c r="A25" s="68"/>
      <c r="B25" s="290" t="str">
        <f>IF(A25:A36="","",IF(L$4="sys/",VLOOKUP(A25:A36,#REF!,4,FALSE)))</f>
        <v/>
      </c>
      <c r="C25" s="291"/>
      <c r="D25" s="292"/>
      <c r="E25" s="293" t="str">
        <f>IF(A25:A36="","",IF(L$4="sys/",VLOOKUP(A25:A36,#REF!,7,FALSE)))</f>
        <v/>
      </c>
      <c r="F25" s="294"/>
      <c r="G25" s="53" t="str">
        <f>IF(A25:A36="","",IF(L$4="sys/",VLOOKUP(A25:A36,#REF!,9,FALSE)))</f>
        <v/>
      </c>
      <c r="H25" s="53"/>
      <c r="I25" s="53" t="str">
        <f>IF(A25:A36="","",IF(L$4="sys/",VLOOKUP(A25:A36,#REF!,8,FALSE)))</f>
        <v/>
      </c>
      <c r="J25" s="53"/>
      <c r="K25" s="53" t="str">
        <f t="shared" si="0"/>
        <v/>
      </c>
      <c r="L25" s="85"/>
      <c r="M25" s="74"/>
      <c r="N25" s="49"/>
      <c r="Q25" s="73"/>
      <c r="R25" s="63" t="e">
        <f t="shared" si="1"/>
        <v>#DIV/0!</v>
      </c>
      <c r="S25" s="50" t="e">
        <f>O24*J24*R25</f>
        <v>#DIV/0!</v>
      </c>
      <c r="T25" s="50">
        <f>O24*J24</f>
        <v>0</v>
      </c>
      <c r="V25" s="51"/>
    </row>
    <row r="26" spans="1:22" s="50" customFormat="1" ht="30" customHeight="1" x14ac:dyDescent="0.3">
      <c r="A26" s="68"/>
      <c r="B26" s="290" t="str">
        <f>IF(A26:A37="","",IF(L$4="sys/",VLOOKUP(A26:A37,#REF!,4,FALSE)))</f>
        <v/>
      </c>
      <c r="C26" s="291"/>
      <c r="D26" s="292"/>
      <c r="E26" s="293" t="str">
        <f>IF(A26:A37="","",IF(L$4="sys/",VLOOKUP(A26:A37,#REF!,7,FALSE)))</f>
        <v/>
      </c>
      <c r="F26" s="294"/>
      <c r="G26" s="53" t="str">
        <f>IF(A26:A37="","",IF(L$4="sys/",VLOOKUP(A26:A37,#REF!,9,FALSE)))</f>
        <v/>
      </c>
      <c r="H26" s="53"/>
      <c r="I26" s="53" t="str">
        <f>IF(A26:A37="","",IF(L$4="sys/",VLOOKUP(A26:A37,#REF!,8,FALSE)))</f>
        <v/>
      </c>
      <c r="J26" s="53"/>
      <c r="K26" s="53" t="str">
        <f t="shared" si="0"/>
        <v/>
      </c>
      <c r="L26" s="85"/>
      <c r="M26" s="74"/>
      <c r="N26" s="49"/>
      <c r="Q26" s="73"/>
      <c r="R26" s="63" t="e">
        <f t="shared" si="1"/>
        <v>#DIV/0!</v>
      </c>
      <c r="S26" s="50" t="e">
        <f>O25*J25*R26</f>
        <v>#DIV/0!</v>
      </c>
      <c r="V26" s="51"/>
    </row>
    <row r="27" spans="1:22" s="50" customFormat="1" ht="30" customHeight="1" x14ac:dyDescent="0.3">
      <c r="A27" s="68"/>
      <c r="B27" s="290" t="str">
        <f>IF(A27:A38="","",IF(L$4="sys/",VLOOKUP(A27:A38,#REF!,4,FALSE)))</f>
        <v/>
      </c>
      <c r="C27" s="291"/>
      <c r="D27" s="292"/>
      <c r="E27" s="293" t="str">
        <f>IF(A27:A38="","",IF(L$4="sys/",VLOOKUP(A27:A38,#REF!,7,FALSE)))</f>
        <v/>
      </c>
      <c r="F27" s="294"/>
      <c r="G27" s="53" t="str">
        <f>IF(A27:A38="","",IF(L$4="sys/",VLOOKUP(A27:A38,#REF!,9,FALSE)))</f>
        <v/>
      </c>
      <c r="H27" s="53"/>
      <c r="I27" s="53" t="str">
        <f>IF(A27:A38="","",IF(L$4="sys/",VLOOKUP(A27:A38,#REF!,8,FALSE)))</f>
        <v/>
      </c>
      <c r="J27" s="53"/>
      <c r="K27" s="53" t="str">
        <f t="shared" si="0"/>
        <v/>
      </c>
      <c r="L27" s="85"/>
      <c r="M27" s="74"/>
      <c r="N27" s="49"/>
      <c r="Q27" s="73"/>
      <c r="R27" s="63" t="e">
        <f t="shared" si="1"/>
        <v>#DIV/0!</v>
      </c>
      <c r="S27" s="50" t="e">
        <f>O26*J27*R27</f>
        <v>#DIV/0!</v>
      </c>
      <c r="V27" s="51"/>
    </row>
    <row r="28" spans="1:22" s="50" customFormat="1" ht="30" customHeight="1" x14ac:dyDescent="0.3">
      <c r="A28" s="68"/>
      <c r="B28" s="290" t="str">
        <f>IF(A28:A39="","",IF(L$4="sys/",VLOOKUP(A28:A39,#REF!,4,FALSE)))</f>
        <v/>
      </c>
      <c r="C28" s="291"/>
      <c r="D28" s="292"/>
      <c r="E28" s="293" t="str">
        <f>IF(A28:A39="","",IF(L$4="sys/",VLOOKUP(A28:A39,#REF!,7,FALSE)))</f>
        <v/>
      </c>
      <c r="F28" s="294"/>
      <c r="G28" s="53" t="str">
        <f>IF(A28:A39="","",IF(L$4="sys/",VLOOKUP(A28:A39,#REF!,9,FALSE)))</f>
        <v/>
      </c>
      <c r="H28" s="53"/>
      <c r="I28" s="53" t="str">
        <f>IF(A28:A39="","",IF(L$4="sys/",VLOOKUP(A28:A39,#REF!,8,FALSE)))</f>
        <v/>
      </c>
      <c r="J28" s="53"/>
      <c r="K28" s="53" t="str">
        <f t="shared" si="0"/>
        <v/>
      </c>
      <c r="L28" s="85"/>
      <c r="M28" s="74"/>
      <c r="N28" s="49"/>
      <c r="O28" s="76" t="s">
        <v>79</v>
      </c>
      <c r="R28" s="63"/>
      <c r="V28" s="51"/>
    </row>
    <row r="29" spans="1:22" ht="16.5" x14ac:dyDescent="0.3">
      <c r="A29" s="14" t="s">
        <v>5</v>
      </c>
      <c r="B29" s="7"/>
      <c r="C29" s="7"/>
      <c r="D29" s="7"/>
      <c r="E29" s="7"/>
      <c r="F29" s="7"/>
      <c r="G29" s="7"/>
      <c r="H29" s="7"/>
      <c r="I29" s="7"/>
      <c r="J29" s="25">
        <f>SUM(J17:J28)</f>
        <v>12000</v>
      </c>
      <c r="K29" s="25">
        <f>SUM(K17:K28)</f>
        <v>12720</v>
      </c>
      <c r="L29" s="25"/>
      <c r="M29" s="58">
        <f>SUM(M17:M28)</f>
        <v>446160</v>
      </c>
      <c r="P29" s="76"/>
      <c r="Q29" s="76"/>
      <c r="R29" s="76"/>
      <c r="S29" t="e">
        <f>SUM(S17:S28)</f>
        <v>#DIV/0!</v>
      </c>
      <c r="V29" s="47" t="e">
        <f>S29/M38</f>
        <v>#DIV/0!</v>
      </c>
    </row>
    <row r="30" spans="1:22" ht="21" x14ac:dyDescent="0.3">
      <c r="A30" s="286" t="s">
        <v>37</v>
      </c>
      <c r="B30" s="287"/>
      <c r="C30" s="271" t="s">
        <v>40</v>
      </c>
      <c r="D30" s="271"/>
      <c r="E30" s="6"/>
      <c r="F30" s="6"/>
      <c r="G30" s="6"/>
      <c r="H30" s="6"/>
      <c r="I30" s="6"/>
      <c r="J30" s="6"/>
      <c r="K30" s="295" t="s">
        <v>21</v>
      </c>
      <c r="L30" s="296"/>
      <c r="M30" s="57">
        <f>M29</f>
        <v>446160</v>
      </c>
      <c r="R30" s="46"/>
      <c r="V30" s="47"/>
    </row>
    <row r="31" spans="1:22" ht="18.75" x14ac:dyDescent="0.3">
      <c r="A31" s="286" t="s">
        <v>38</v>
      </c>
      <c r="B31" s="287"/>
      <c r="C31" s="271" t="s">
        <v>48</v>
      </c>
      <c r="D31" s="271"/>
      <c r="E31" s="6"/>
      <c r="F31" s="6"/>
      <c r="G31" s="6"/>
      <c r="H31" s="6"/>
      <c r="I31" s="6"/>
      <c r="J31" s="6"/>
      <c r="K31" s="288" t="s">
        <v>22</v>
      </c>
      <c r="L31" s="289"/>
      <c r="M31" s="56">
        <f>(R14*W13+S14*W14)*T14</f>
        <v>9900</v>
      </c>
      <c r="R31" s="47"/>
      <c r="V31" s="47"/>
    </row>
    <row r="32" spans="1:22" ht="16.5" customHeight="1" x14ac:dyDescent="0.3">
      <c r="A32" s="12" t="s">
        <v>46</v>
      </c>
      <c r="B32" s="6"/>
      <c r="C32" s="44" t="s">
        <v>28</v>
      </c>
      <c r="D32" s="6"/>
      <c r="E32" s="6"/>
      <c r="F32" s="6"/>
      <c r="G32" s="6"/>
      <c r="H32" s="6"/>
      <c r="I32" s="6"/>
      <c r="J32" s="6"/>
      <c r="K32" s="276" t="s">
        <v>26</v>
      </c>
      <c r="L32" s="277"/>
      <c r="M32" s="55">
        <v>0</v>
      </c>
      <c r="S32" s="69" t="s">
        <v>82</v>
      </c>
    </row>
    <row r="33" spans="1:19" ht="16.5" customHeight="1" x14ac:dyDescent="0.3">
      <c r="A33" s="15" t="str">
        <f>IF(B1=V1,X3,Y3)</f>
        <v>PAYEE:SINOCHEM TIANJIN CO., LTD</v>
      </c>
      <c r="B33" s="6"/>
      <c r="C33" s="6"/>
      <c r="D33" s="6"/>
      <c r="E33" s="6"/>
      <c r="F33" s="6"/>
      <c r="G33" s="6"/>
      <c r="H33" s="6"/>
      <c r="I33" s="6"/>
      <c r="J33" s="6"/>
      <c r="K33" s="276" t="s">
        <v>27</v>
      </c>
      <c r="L33" s="277"/>
      <c r="M33" s="55">
        <v>0</v>
      </c>
    </row>
    <row r="34" spans="1:19" ht="16.5" customHeight="1" x14ac:dyDescent="0.3">
      <c r="A34" s="16" t="s">
        <v>13</v>
      </c>
      <c r="B34" s="6"/>
      <c r="C34" s="6"/>
      <c r="D34" s="6"/>
      <c r="E34" s="6"/>
      <c r="F34" s="6"/>
      <c r="G34" s="6"/>
      <c r="H34" s="6"/>
      <c r="I34" s="6"/>
      <c r="J34" s="6"/>
      <c r="K34" s="6"/>
      <c r="L34" s="6"/>
      <c r="M34" s="55">
        <v>0</v>
      </c>
    </row>
    <row r="35" spans="1:19" ht="16.5" customHeight="1" x14ac:dyDescent="0.3">
      <c r="A35" s="16" t="s">
        <v>14</v>
      </c>
      <c r="B35" s="6"/>
      <c r="C35" s="6"/>
      <c r="D35" s="6"/>
      <c r="E35" s="6"/>
      <c r="F35" s="6"/>
      <c r="G35" s="6"/>
      <c r="H35" s="6"/>
      <c r="I35" s="6"/>
      <c r="J35" s="6"/>
      <c r="K35" s="6"/>
      <c r="L35" s="6"/>
      <c r="M35" s="55">
        <v>0</v>
      </c>
    </row>
    <row r="36" spans="1:19" ht="16.5" customHeight="1" x14ac:dyDescent="0.3">
      <c r="A36" s="16" t="s">
        <v>15</v>
      </c>
      <c r="B36" s="6"/>
      <c r="C36" s="6"/>
      <c r="D36" s="6"/>
      <c r="E36" s="6"/>
      <c r="F36" s="6"/>
      <c r="G36" s="6"/>
      <c r="H36" s="6"/>
      <c r="I36" s="6"/>
      <c r="J36" s="6"/>
      <c r="K36" s="6"/>
      <c r="L36" s="6"/>
      <c r="M36" s="55">
        <v>0</v>
      </c>
    </row>
    <row r="37" spans="1:19" ht="16.5" customHeight="1" x14ac:dyDescent="0.3">
      <c r="A37" s="16" t="s">
        <v>16</v>
      </c>
      <c r="B37" s="6"/>
      <c r="C37" s="6"/>
      <c r="D37" s="6"/>
      <c r="E37" s="6"/>
      <c r="F37" s="6"/>
      <c r="G37" s="6"/>
      <c r="H37" s="6"/>
      <c r="I37" s="6"/>
      <c r="J37" s="6"/>
      <c r="K37" s="6"/>
      <c r="L37" s="6"/>
      <c r="M37" s="55">
        <v>0</v>
      </c>
      <c r="O37" s="72">
        <v>426655.25</v>
      </c>
    </row>
    <row r="38" spans="1:19" ht="21.75" thickBot="1" x14ac:dyDescent="0.4">
      <c r="A38" s="16" t="str">
        <f>IF(B1=V1,X2,Y2)</f>
        <v>ACCOUNT NUMBER:10002000096220000016</v>
      </c>
      <c r="B38" s="1"/>
      <c r="C38" s="1"/>
      <c r="D38" s="1"/>
      <c r="E38" s="1"/>
      <c r="F38" s="1"/>
      <c r="G38" s="1"/>
      <c r="H38" s="1"/>
      <c r="I38" s="1"/>
      <c r="J38" s="1"/>
      <c r="K38" s="278" t="s">
        <v>25</v>
      </c>
      <c r="L38" s="279"/>
      <c r="M38" s="54">
        <f>SUM(M30+M31)</f>
        <v>456060</v>
      </c>
    </row>
    <row r="39" spans="1:19" ht="18.75" thickBot="1" x14ac:dyDescent="0.35">
      <c r="A39" s="280" t="s">
        <v>83</v>
      </c>
      <c r="B39" s="281"/>
      <c r="C39" s="282" t="e">
        <f ca="1">SpellNumber(M38)</f>
        <v>#NAME?</v>
      </c>
      <c r="D39" s="282"/>
      <c r="E39" s="282"/>
      <c r="F39" s="282"/>
      <c r="G39" s="282"/>
      <c r="H39" s="282"/>
      <c r="I39" s="282"/>
      <c r="J39" s="283"/>
      <c r="K39" s="1"/>
      <c r="L39" s="1"/>
      <c r="M39" s="45" t="s">
        <v>51</v>
      </c>
    </row>
    <row r="40" spans="1:19" x14ac:dyDescent="0.3">
      <c r="A40" s="284"/>
      <c r="B40" s="285"/>
      <c r="C40" s="285"/>
      <c r="D40" s="285"/>
      <c r="E40" s="285"/>
      <c r="F40" s="285"/>
      <c r="G40" s="285"/>
      <c r="H40" s="285"/>
      <c r="I40" s="285"/>
      <c r="J40" s="285"/>
      <c r="K40" s="1"/>
      <c r="L40" s="1"/>
      <c r="M40" s="17"/>
    </row>
    <row r="41" spans="1:19" ht="16.5" x14ac:dyDescent="0.3">
      <c r="A41" s="18" t="s">
        <v>8</v>
      </c>
      <c r="B41" s="5"/>
      <c r="C41" s="5"/>
      <c r="D41" s="5"/>
      <c r="E41" s="5"/>
      <c r="F41" s="5"/>
      <c r="G41" s="5"/>
      <c r="H41" s="5"/>
      <c r="I41" s="5"/>
      <c r="J41" s="5"/>
      <c r="K41" s="5"/>
      <c r="L41" s="5"/>
      <c r="M41" s="19"/>
    </row>
    <row r="42" spans="1:19" x14ac:dyDescent="0.3">
      <c r="A42" s="28" t="s">
        <v>4</v>
      </c>
      <c r="B42" s="27"/>
      <c r="C42" s="27" t="s">
        <v>28</v>
      </c>
      <c r="D42" s="27"/>
      <c r="E42" s="27"/>
      <c r="F42" s="27"/>
      <c r="G42" s="1"/>
      <c r="H42" s="1"/>
      <c r="I42" s="1"/>
      <c r="J42" s="1"/>
      <c r="K42" s="1"/>
      <c r="L42" s="1"/>
      <c r="M42" s="17"/>
    </row>
    <row r="43" spans="1:19" x14ac:dyDescent="0.3">
      <c r="A43" s="28" t="s">
        <v>2</v>
      </c>
      <c r="B43" s="27"/>
      <c r="C43" s="27" t="s">
        <v>28</v>
      </c>
      <c r="D43" s="27"/>
      <c r="E43" s="27"/>
      <c r="F43" s="27"/>
      <c r="G43" s="1"/>
      <c r="H43" s="1"/>
      <c r="I43" s="1"/>
      <c r="J43" s="1"/>
      <c r="K43" s="1"/>
      <c r="L43" s="1"/>
      <c r="M43" s="17"/>
      <c r="S43" t="e">
        <f ca="1">SpellNumber(M38)</f>
        <v>#NAME?</v>
      </c>
    </row>
    <row r="44" spans="1:19" x14ac:dyDescent="0.3">
      <c r="A44" s="28" t="s">
        <v>3</v>
      </c>
      <c r="B44" s="27"/>
      <c r="C44" s="27" t="s">
        <v>29</v>
      </c>
      <c r="D44" s="27"/>
      <c r="E44" s="27"/>
      <c r="F44" s="27"/>
      <c r="G44" s="1"/>
      <c r="H44" s="1"/>
      <c r="I44" s="1"/>
      <c r="J44" s="1"/>
      <c r="K44" s="1"/>
      <c r="L44" s="1"/>
      <c r="M44" s="17"/>
    </row>
    <row r="45" spans="1:19" x14ac:dyDescent="0.3">
      <c r="A45" s="28"/>
      <c r="B45" s="27"/>
      <c r="C45" s="27"/>
      <c r="D45" s="27"/>
      <c r="E45" s="27"/>
      <c r="F45" s="27"/>
      <c r="G45" s="1"/>
      <c r="H45" s="1"/>
      <c r="I45" s="1"/>
      <c r="J45" s="1"/>
      <c r="K45" s="1"/>
      <c r="L45" s="1"/>
      <c r="M45" s="17"/>
      <c r="R45" t="e">
        <f ca="1">SpellNumber(M38)</f>
        <v>#NAME?</v>
      </c>
    </row>
    <row r="46" spans="1:19" x14ac:dyDescent="0.3">
      <c r="A46" s="29" t="s">
        <v>6</v>
      </c>
      <c r="B46" s="26"/>
      <c r="C46" s="271" t="s">
        <v>24</v>
      </c>
      <c r="D46" s="271"/>
      <c r="E46" s="271"/>
      <c r="F46" s="271"/>
      <c r="G46" s="2"/>
      <c r="H46" s="2"/>
      <c r="I46" s="2"/>
      <c r="J46" s="2"/>
      <c r="K46" s="2"/>
      <c r="L46" s="2"/>
      <c r="M46" s="17"/>
      <c r="R46" t="e">
        <f ca="1">SpellNumber(M38)</f>
        <v>#NAME?</v>
      </c>
    </row>
    <row r="47" spans="1:19" x14ac:dyDescent="0.3">
      <c r="A47" s="20"/>
      <c r="B47" s="2"/>
      <c r="C47" s="2"/>
      <c r="D47" s="2"/>
      <c r="E47" s="2"/>
      <c r="F47" s="2"/>
      <c r="G47" s="2"/>
      <c r="H47" s="2"/>
      <c r="I47" s="2"/>
      <c r="J47" s="2"/>
      <c r="K47" s="2"/>
      <c r="L47" s="2"/>
      <c r="M47" s="17"/>
      <c r="R47" t="e">
        <f ca="1">SpellNumber(M38)</f>
        <v>#NAME?</v>
      </c>
    </row>
    <row r="48" spans="1:19" ht="15" customHeight="1" x14ac:dyDescent="0.3">
      <c r="A48" s="272" t="s">
        <v>30</v>
      </c>
      <c r="B48" s="273"/>
      <c r="C48" s="273"/>
      <c r="D48" s="273"/>
      <c r="E48" s="273"/>
      <c r="F48" s="273"/>
      <c r="G48" s="273"/>
      <c r="H48" s="78"/>
      <c r="I48" s="2"/>
      <c r="J48" s="2"/>
      <c r="K48" s="2"/>
      <c r="L48" s="2"/>
      <c r="M48" s="17"/>
    </row>
    <row r="49" spans="1:13" x14ac:dyDescent="0.3">
      <c r="A49" s="272"/>
      <c r="B49" s="273"/>
      <c r="C49" s="273"/>
      <c r="D49" s="273"/>
      <c r="E49" s="273"/>
      <c r="F49" s="273"/>
      <c r="G49" s="273"/>
      <c r="H49" s="78"/>
      <c r="I49" s="2"/>
      <c r="J49" s="2"/>
      <c r="K49" s="2"/>
      <c r="L49" s="2"/>
      <c r="M49" s="17"/>
    </row>
    <row r="50" spans="1:13" x14ac:dyDescent="0.3">
      <c r="A50" s="272"/>
      <c r="B50" s="273"/>
      <c r="C50" s="273"/>
      <c r="D50" s="273"/>
      <c r="E50" s="273"/>
      <c r="F50" s="273"/>
      <c r="G50" s="273"/>
      <c r="H50" s="78"/>
      <c r="I50" s="2"/>
      <c r="J50" s="2"/>
      <c r="K50" s="2"/>
      <c r="L50" s="2"/>
      <c r="M50" s="17"/>
    </row>
    <row r="51" spans="1:13" x14ac:dyDescent="0.3">
      <c r="A51" s="21" t="s">
        <v>92</v>
      </c>
      <c r="B51" s="4"/>
      <c r="C51" s="2"/>
      <c r="D51" s="2"/>
      <c r="E51" s="2"/>
      <c r="F51" s="2"/>
      <c r="G51" s="2"/>
      <c r="H51" s="2"/>
      <c r="I51" s="2"/>
      <c r="J51" s="2"/>
      <c r="K51" s="2"/>
      <c r="L51" s="2"/>
      <c r="M51" s="17"/>
    </row>
    <row r="52" spans="1:13" ht="15.75" thickBot="1" x14ac:dyDescent="0.35">
      <c r="A52" s="274" t="str">
        <f>IF(B1=V1,X1,Y1)</f>
        <v>SINOCHEM TIANJIN CO., LTD</v>
      </c>
      <c r="B52" s="275">
        <f>IF(C51=W51,Y51,Z51)</f>
        <v>0</v>
      </c>
      <c r="C52" s="275">
        <f>IF(D51=X51,Z51,AA51)</f>
        <v>0</v>
      </c>
      <c r="D52" s="275">
        <f>IF(E51=Y51,AA51,AB51)</f>
        <v>0</v>
      </c>
      <c r="E52" s="24"/>
      <c r="F52" s="22"/>
      <c r="G52" s="22"/>
      <c r="H52" s="22"/>
      <c r="I52" s="22"/>
      <c r="J52" s="22"/>
      <c r="K52" s="22"/>
      <c r="L52" s="22"/>
      <c r="M52" s="23"/>
    </row>
  </sheetData>
  <mergeCells count="53">
    <mergeCell ref="K10:L10"/>
    <mergeCell ref="K11:L11"/>
    <mergeCell ref="K12:L12"/>
    <mergeCell ref="K13:L13"/>
    <mergeCell ref="B1:F1"/>
    <mergeCell ref="L2:M2"/>
    <mergeCell ref="L3:M3"/>
    <mergeCell ref="J5:K5"/>
    <mergeCell ref="L5:M5"/>
    <mergeCell ref="O13:P14"/>
    <mergeCell ref="K14:L14"/>
    <mergeCell ref="B16:D16"/>
    <mergeCell ref="E16:F16"/>
    <mergeCell ref="B17:D17"/>
    <mergeCell ref="E17:F17"/>
    <mergeCell ref="K15:L15"/>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A31:B31"/>
    <mergeCell ref="C31:D31"/>
    <mergeCell ref="K31:L31"/>
    <mergeCell ref="B25:D25"/>
    <mergeCell ref="E25:F25"/>
    <mergeCell ref="B26:D26"/>
    <mergeCell ref="E26:F26"/>
    <mergeCell ref="B27:D27"/>
    <mergeCell ref="E27:F27"/>
    <mergeCell ref="B28:D28"/>
    <mergeCell ref="E28:F28"/>
    <mergeCell ref="A30:B30"/>
    <mergeCell ref="C30:D30"/>
    <mergeCell ref="K30:L30"/>
    <mergeCell ref="C46:F46"/>
    <mergeCell ref="A48:G50"/>
    <mergeCell ref="A52:D52"/>
    <mergeCell ref="K32:L32"/>
    <mergeCell ref="K33:L33"/>
    <mergeCell ref="K38:L38"/>
    <mergeCell ref="A39:B39"/>
    <mergeCell ref="C39:J39"/>
    <mergeCell ref="A40:J40"/>
  </mergeCells>
  <dataValidations count="2">
    <dataValidation type="list" allowBlank="1" showInputMessage="1" showErrorMessage="1" sqref="H17:H28" xr:uid="{00000000-0002-0000-0C00-000000000000}">
      <formula1>$P$5:$P$7</formula1>
    </dataValidation>
    <dataValidation type="list" allowBlank="1" showInputMessage="1" showErrorMessage="1" sqref="B1:F1" xr:uid="{00000000-0002-0000-0C00-000001000000}">
      <formula1>$V$1:$W$1</formula1>
    </dataValidation>
  </dataValidations>
  <printOptions horizontalCentered="1"/>
  <pageMargins left="0.51181102362204722" right="0.51181102362204722" top="0.51181102362204722" bottom="0.51181102362204722" header="0.51181102362204722" footer="0.23622047244094491"/>
  <pageSetup scale="65" fitToHeight="0"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pageSetUpPr fitToPage="1"/>
  </sheetPr>
  <dimension ref="A1:Y52"/>
  <sheetViews>
    <sheetView showGridLines="0" topLeftCell="A22" zoomScale="85" zoomScaleNormal="85" workbookViewId="0">
      <selection activeCell="B1" sqref="B1:F1"/>
    </sheetView>
  </sheetViews>
  <sheetFormatPr defaultRowHeight="15" x14ac:dyDescent="0.3"/>
  <cols>
    <col min="1" max="3" width="11.42578125" customWidth="1"/>
    <col min="4" max="4" width="13.5703125" customWidth="1"/>
    <col min="5" max="5" width="11.42578125" customWidth="1"/>
    <col min="6" max="6" width="17" customWidth="1"/>
    <col min="7" max="7" width="8.140625" bestFit="1" customWidth="1"/>
    <col min="8" max="8" width="8.140625" customWidth="1"/>
    <col min="9" max="12" width="11.42578125" customWidth="1"/>
    <col min="13" max="13" width="16.85546875" customWidth="1"/>
    <col min="14" max="14" width="10.85546875" bestFit="1" customWidth="1"/>
    <col min="15" max="15" width="9.85546875" bestFit="1" customWidth="1"/>
    <col min="18" max="18" width="11.85546875" bestFit="1" customWidth="1"/>
    <col min="22" max="22" width="13.7109375" bestFit="1" customWidth="1"/>
  </cols>
  <sheetData>
    <row r="1" spans="1:25" ht="78" customHeight="1" x14ac:dyDescent="0.45">
      <c r="A1" s="8"/>
      <c r="B1" s="306" t="s">
        <v>108</v>
      </c>
      <c r="C1" s="306"/>
      <c r="D1" s="306"/>
      <c r="E1" s="306"/>
      <c r="F1" s="306"/>
      <c r="G1" s="84"/>
      <c r="H1" s="84"/>
      <c r="I1" s="84"/>
      <c r="J1" s="84"/>
      <c r="K1" s="84"/>
      <c r="L1" s="84"/>
      <c r="M1" s="30" t="s">
        <v>7</v>
      </c>
      <c r="V1" s="87" t="s">
        <v>74</v>
      </c>
      <c r="W1" s="88" t="s">
        <v>108</v>
      </c>
      <c r="X1" s="38" t="s">
        <v>69</v>
      </c>
      <c r="Y1" s="38" t="s">
        <v>109</v>
      </c>
    </row>
    <row r="2" spans="1:25" ht="16.5" x14ac:dyDescent="0.3">
      <c r="A2" s="38" t="str">
        <f>IF(B1=V1,X1,Y1)</f>
        <v>SINOCHEM TIANJIN CO., LTD</v>
      </c>
      <c r="B2" s="39"/>
      <c r="C2" s="39"/>
      <c r="D2" s="9"/>
      <c r="E2" s="9"/>
      <c r="F2" s="9"/>
      <c r="G2" s="9"/>
      <c r="H2" s="9"/>
      <c r="I2" s="9"/>
      <c r="J2" s="35"/>
      <c r="K2" s="36" t="s">
        <v>45</v>
      </c>
      <c r="L2" s="307">
        <v>42278</v>
      </c>
      <c r="M2" s="308"/>
      <c r="X2" s="89" t="s">
        <v>110</v>
      </c>
      <c r="Y2" s="89" t="s">
        <v>111</v>
      </c>
    </row>
    <row r="3" spans="1:25" ht="16.5" x14ac:dyDescent="0.3">
      <c r="A3" s="40" t="s">
        <v>11</v>
      </c>
      <c r="B3" s="41"/>
      <c r="C3" s="41"/>
      <c r="D3" s="10"/>
      <c r="E3" s="10"/>
      <c r="F3" s="10"/>
      <c r="G3" s="10"/>
      <c r="H3" s="10"/>
      <c r="I3" s="10"/>
      <c r="J3" s="37"/>
      <c r="K3" s="36" t="s">
        <v>44</v>
      </c>
      <c r="L3" s="307" t="s">
        <v>96</v>
      </c>
      <c r="M3" s="308"/>
      <c r="X3" s="38" t="s">
        <v>112</v>
      </c>
      <c r="Y3" s="38" t="s">
        <v>113</v>
      </c>
    </row>
    <row r="4" spans="1:25" ht="15" customHeight="1" x14ac:dyDescent="0.3">
      <c r="A4" s="40" t="s">
        <v>12</v>
      </c>
      <c r="B4" s="41"/>
      <c r="C4" s="41"/>
      <c r="D4" s="9"/>
      <c r="E4" s="9"/>
      <c r="F4" s="9"/>
      <c r="G4" s="9"/>
      <c r="H4" s="9"/>
      <c r="I4" s="9"/>
      <c r="J4" s="35"/>
      <c r="K4" s="36" t="s">
        <v>47</v>
      </c>
      <c r="L4" s="79" t="s">
        <v>98</v>
      </c>
      <c r="M4" s="77" t="s">
        <v>122</v>
      </c>
    </row>
    <row r="5" spans="1:25" ht="16.5" x14ac:dyDescent="0.3">
      <c r="A5" s="40" t="s">
        <v>10</v>
      </c>
      <c r="B5" s="41"/>
      <c r="C5" s="41"/>
      <c r="D5" s="9"/>
      <c r="E5" s="9"/>
      <c r="F5" s="9"/>
      <c r="G5" s="9"/>
      <c r="H5" s="9"/>
      <c r="I5" s="9"/>
      <c r="J5" s="309"/>
      <c r="K5" s="309"/>
      <c r="L5" s="310"/>
      <c r="M5" s="311"/>
      <c r="P5" t="s">
        <v>105</v>
      </c>
    </row>
    <row r="6" spans="1:25" ht="16.5" x14ac:dyDescent="0.3">
      <c r="A6" s="40" t="s">
        <v>9</v>
      </c>
      <c r="B6" s="41"/>
      <c r="C6" s="41"/>
      <c r="D6" s="9"/>
      <c r="E6" s="9"/>
      <c r="F6" s="9"/>
      <c r="G6" s="9"/>
      <c r="H6" s="9"/>
      <c r="I6" s="9"/>
      <c r="J6" s="9"/>
      <c r="K6" s="9"/>
      <c r="L6" s="9"/>
      <c r="M6" s="11"/>
      <c r="P6" t="s">
        <v>106</v>
      </c>
    </row>
    <row r="7" spans="1:25" x14ac:dyDescent="0.3">
      <c r="A7" s="12"/>
      <c r="B7" s="1"/>
      <c r="C7" s="1"/>
      <c r="D7" s="9"/>
      <c r="E7" s="9"/>
      <c r="F7" s="9"/>
      <c r="G7" s="9"/>
      <c r="H7" s="9"/>
      <c r="I7" s="9"/>
      <c r="J7" s="9"/>
      <c r="K7" s="9"/>
      <c r="L7" s="9"/>
      <c r="M7" s="11"/>
      <c r="P7" t="s">
        <v>89</v>
      </c>
    </row>
    <row r="8" spans="1:25" x14ac:dyDescent="0.3">
      <c r="A8" s="12"/>
      <c r="B8" s="1"/>
      <c r="C8" s="1"/>
      <c r="D8" s="1"/>
      <c r="E8" s="1"/>
      <c r="F8" s="1"/>
      <c r="G8" s="1"/>
      <c r="H8" s="1"/>
      <c r="I8" s="1"/>
      <c r="J8" s="1"/>
      <c r="K8" s="1"/>
      <c r="L8" s="1"/>
      <c r="M8" s="11"/>
    </row>
    <row r="9" spans="1:25" ht="16.5" x14ac:dyDescent="0.3">
      <c r="A9" s="13" t="s">
        <v>1</v>
      </c>
      <c r="B9" s="3"/>
      <c r="C9" s="3"/>
      <c r="D9" s="3"/>
      <c r="E9" s="3"/>
      <c r="F9" s="3"/>
      <c r="G9" s="3"/>
      <c r="H9" s="3"/>
      <c r="I9" s="3"/>
      <c r="J9" s="3"/>
      <c r="K9" s="3"/>
      <c r="L9" s="3" t="s">
        <v>31</v>
      </c>
      <c r="M9" s="34"/>
    </row>
    <row r="10" spans="1:25" ht="16.5" x14ac:dyDescent="0.3">
      <c r="A10" s="40" t="s">
        <v>88</v>
      </c>
      <c r="B10" s="41"/>
      <c r="C10" s="41"/>
      <c r="D10" s="9"/>
      <c r="E10" s="9"/>
      <c r="F10" s="9"/>
      <c r="G10" s="9"/>
      <c r="H10" s="9"/>
      <c r="I10" s="9"/>
      <c r="J10" s="9"/>
      <c r="K10" s="299" t="s">
        <v>32</v>
      </c>
      <c r="L10" s="299"/>
      <c r="M10" s="59" t="s">
        <v>34</v>
      </c>
    </row>
    <row r="11" spans="1:25" ht="16.5" customHeight="1" x14ac:dyDescent="0.3">
      <c r="A11" s="40" t="s">
        <v>86</v>
      </c>
      <c r="B11" s="41"/>
      <c r="C11" s="41"/>
      <c r="D11" s="9"/>
      <c r="E11" s="9"/>
      <c r="F11" s="9"/>
      <c r="G11" s="9"/>
      <c r="H11" s="9"/>
      <c r="I11" s="9"/>
      <c r="J11" s="9"/>
      <c r="K11" s="299" t="s">
        <v>42</v>
      </c>
      <c r="L11" s="299"/>
      <c r="M11" s="59" t="s">
        <v>43</v>
      </c>
    </row>
    <row r="12" spans="1:25" ht="16.5" customHeight="1" x14ac:dyDescent="0.3">
      <c r="A12" s="40" t="s">
        <v>87</v>
      </c>
      <c r="B12" s="41"/>
      <c r="C12" s="41"/>
      <c r="D12" s="9"/>
      <c r="E12" s="9"/>
      <c r="F12" s="9"/>
      <c r="G12" s="9"/>
      <c r="H12" s="9"/>
      <c r="I12" s="9"/>
      <c r="J12" s="9"/>
      <c r="K12" s="299" t="s">
        <v>41</v>
      </c>
      <c r="L12" s="299"/>
      <c r="M12" s="61">
        <f xml:space="preserve"> K29</f>
        <v>12720</v>
      </c>
      <c r="W12" t="s">
        <v>80</v>
      </c>
      <c r="Y12" t="s">
        <v>36</v>
      </c>
    </row>
    <row r="13" spans="1:25" ht="16.5" customHeight="1" x14ac:dyDescent="0.3">
      <c r="A13" s="40" t="s">
        <v>85</v>
      </c>
      <c r="B13" s="41"/>
      <c r="C13" s="41"/>
      <c r="D13" s="9"/>
      <c r="E13" s="9"/>
      <c r="F13" s="9"/>
      <c r="G13" s="9"/>
      <c r="H13" s="9"/>
      <c r="I13" s="9"/>
      <c r="J13" s="9"/>
      <c r="K13" s="299" t="s">
        <v>35</v>
      </c>
      <c r="L13" s="299"/>
      <c r="M13" s="60" t="str">
        <f>IF(K29/J29=1.06,"Cartons",IF(K29/J29&gt;=1.12,"Drums","Cartons &amp; Drums"))</f>
        <v>Cartons</v>
      </c>
      <c r="O13" s="215" t="s">
        <v>77</v>
      </c>
      <c r="P13" s="215"/>
      <c r="Q13" s="83"/>
      <c r="R13" s="64" t="s">
        <v>78</v>
      </c>
      <c r="S13" s="65" t="s">
        <v>76</v>
      </c>
      <c r="T13" t="s">
        <v>95</v>
      </c>
      <c r="V13" s="51" t="s">
        <v>75</v>
      </c>
      <c r="W13" s="50">
        <v>19800</v>
      </c>
      <c r="Y13" t="s">
        <v>67</v>
      </c>
    </row>
    <row r="14" spans="1:25" ht="16.5" customHeight="1" x14ac:dyDescent="0.3">
      <c r="A14" s="42" t="s">
        <v>84</v>
      </c>
      <c r="B14" s="43"/>
      <c r="C14" s="41"/>
      <c r="D14" s="9"/>
      <c r="E14" s="9"/>
      <c r="F14" s="9"/>
      <c r="G14" s="9"/>
      <c r="H14" s="9"/>
      <c r="I14" s="9"/>
      <c r="J14" s="9"/>
      <c r="K14" s="299" t="s">
        <v>33</v>
      </c>
      <c r="L14" s="299"/>
      <c r="M14" s="60">
        <f>J29/25</f>
        <v>480</v>
      </c>
      <c r="O14" s="215"/>
      <c r="P14" s="215"/>
      <c r="Q14" s="83"/>
      <c r="R14" s="83">
        <v>1</v>
      </c>
      <c r="S14" s="66"/>
      <c r="T14">
        <v>0.5</v>
      </c>
      <c r="V14" s="51" t="s">
        <v>76</v>
      </c>
      <c r="W14" s="50">
        <v>15000</v>
      </c>
      <c r="Y14" t="s">
        <v>91</v>
      </c>
    </row>
    <row r="15" spans="1:25" ht="12" customHeight="1" x14ac:dyDescent="0.3">
      <c r="A15" s="12"/>
      <c r="B15" s="1"/>
      <c r="C15" s="43"/>
      <c r="D15" s="1"/>
      <c r="E15" s="1"/>
      <c r="F15" s="1"/>
      <c r="G15" s="1"/>
      <c r="H15" s="1"/>
      <c r="I15" s="1"/>
      <c r="J15" s="1"/>
      <c r="K15" s="299"/>
      <c r="L15" s="299"/>
      <c r="M15" s="59"/>
      <c r="Y15" t="s">
        <v>89</v>
      </c>
    </row>
    <row r="16" spans="1:25" ht="48.75" customHeight="1" x14ac:dyDescent="0.3">
      <c r="A16" s="31" t="s">
        <v>17</v>
      </c>
      <c r="B16" s="312" t="s">
        <v>0</v>
      </c>
      <c r="C16" s="312"/>
      <c r="D16" s="312"/>
      <c r="E16" s="312" t="s">
        <v>39</v>
      </c>
      <c r="F16" s="312"/>
      <c r="G16" s="32" t="s">
        <v>18</v>
      </c>
      <c r="H16" s="32" t="s">
        <v>104</v>
      </c>
      <c r="I16" s="32" t="s">
        <v>19</v>
      </c>
      <c r="J16" s="32" t="s">
        <v>20</v>
      </c>
      <c r="K16" s="32" t="s">
        <v>23</v>
      </c>
      <c r="L16" s="32" t="s">
        <v>49</v>
      </c>
      <c r="M16" s="33" t="s">
        <v>50</v>
      </c>
      <c r="O16" s="32" t="s">
        <v>72</v>
      </c>
      <c r="P16" s="32" t="s">
        <v>81</v>
      </c>
      <c r="Q16" s="32" t="s">
        <v>94</v>
      </c>
      <c r="R16" s="32" t="s">
        <v>93</v>
      </c>
      <c r="S16" s="32" t="s">
        <v>73</v>
      </c>
    </row>
    <row r="17" spans="1:22" s="50" customFormat="1" ht="30" customHeight="1" x14ac:dyDescent="0.3">
      <c r="A17" s="67">
        <v>2992</v>
      </c>
      <c r="B17" s="290" t="e">
        <f>IF(A17:A28="","",IF(L$4="sys/",VLOOKUP(A17:A28,#REF!,4,FALSE)))</f>
        <v>#REF!</v>
      </c>
      <c r="C17" s="291"/>
      <c r="D17" s="292"/>
      <c r="E17" s="293" t="e">
        <f>IF(A17:A28="","",IF(L$4="sys/",VLOOKUP(A17:A28,#REF!,7,FALSE)))</f>
        <v>#REF!</v>
      </c>
      <c r="F17" s="294"/>
      <c r="G17" s="53" t="e">
        <f>IF(A17:A28="","",IF(L$4="sys/",VLOOKUP(A17:A28,#REF!,9,FALSE)))</f>
        <v>#REF!</v>
      </c>
      <c r="H17" s="53" t="s">
        <v>105</v>
      </c>
      <c r="I17" s="53" t="e">
        <f>IF(A17:A28="","",IF(L$4="sys/",VLOOKUP(A17:A28,#REF!,8,FALSE)))</f>
        <v>#REF!</v>
      </c>
      <c r="J17" s="52">
        <v>12000</v>
      </c>
      <c r="K17" s="52">
        <f>IF(H17="","",IF(H17="carton",(J17*26.5/25),IF(H17="drum",J17*28/25,IF(H17="bale",0))))</f>
        <v>12720</v>
      </c>
      <c r="L17" s="86" t="str">
        <f>FIXED(O17-(M$31/J$29),2,1)</f>
        <v>37.18</v>
      </c>
      <c r="M17" s="74">
        <f>J17*L17</f>
        <v>446160</v>
      </c>
      <c r="N17" s="49"/>
      <c r="O17" s="70">
        <v>38</v>
      </c>
      <c r="P17" s="48"/>
      <c r="Q17" s="73"/>
      <c r="R17" s="63" t="e">
        <f>(O17-P17)/P17+Q17</f>
        <v>#DIV/0!</v>
      </c>
      <c r="S17" s="50" t="e">
        <f>O17*J17*R17</f>
        <v>#DIV/0!</v>
      </c>
      <c r="T17" s="50">
        <f>O17*J17</f>
        <v>456000</v>
      </c>
    </row>
    <row r="18" spans="1:22" s="50" customFormat="1" ht="30" customHeight="1" x14ac:dyDescent="0.3">
      <c r="A18" s="68"/>
      <c r="B18" s="290" t="str">
        <f>IF(A18:A29="","",IF(L$4="sys/",VLOOKUP(A18:A29,#REF!,4,FALSE)))</f>
        <v/>
      </c>
      <c r="C18" s="291"/>
      <c r="D18" s="292"/>
      <c r="E18" s="293" t="str">
        <f>IF(A18:A29="","",IF(L$4="sys/",VLOOKUP(A18:A29,#REF!,7,FALSE)))</f>
        <v/>
      </c>
      <c r="F18" s="294"/>
      <c r="G18" s="53" t="str">
        <f>IF(A18:A29="","",IF(L$4="sys/",VLOOKUP(A18:A29,#REF!,9,FALSE)))</f>
        <v/>
      </c>
      <c r="H18" s="53"/>
      <c r="I18" s="53" t="str">
        <f>IF(A18:A29="","",IF(L$4="sys/",VLOOKUP(A18:A29,#REF!,8,FALSE)))</f>
        <v/>
      </c>
      <c r="J18" s="53"/>
      <c r="K18" s="53" t="str">
        <f t="shared" ref="K18:K28" si="0">IF(H18="","",IF(H18="carton",(J18*26.5/25),IF(H18="drum",J18*28/25,IF(H18="bale",0))))</f>
        <v/>
      </c>
      <c r="L18" s="85"/>
      <c r="M18" s="74"/>
      <c r="N18" s="49"/>
      <c r="O18" s="70"/>
      <c r="P18" s="48"/>
      <c r="Q18" s="73"/>
      <c r="R18" s="63" t="e">
        <f>(O18-P18)/P18+Q18</f>
        <v>#DIV/0!</v>
      </c>
      <c r="S18" s="50" t="e">
        <f>O18*J18*R18</f>
        <v>#DIV/0!</v>
      </c>
      <c r="T18" s="50">
        <f>O18*J18</f>
        <v>0</v>
      </c>
    </row>
    <row r="19" spans="1:22" s="50" customFormat="1" ht="30" customHeight="1" x14ac:dyDescent="0.3">
      <c r="A19" s="68"/>
      <c r="B19" s="290" t="str">
        <f>IF(A19:A30="","",IF(L$4="sys/",VLOOKUP(A19:A30,#REF!,4,FALSE)))</f>
        <v/>
      </c>
      <c r="C19" s="291"/>
      <c r="D19" s="292"/>
      <c r="E19" s="293" t="str">
        <f>IF(A19:A30="","",IF(L$4="sys/",VLOOKUP(A19:A30,#REF!,7,FALSE)))</f>
        <v/>
      </c>
      <c r="F19" s="294"/>
      <c r="G19" s="53" t="str">
        <f>IF(A19:A30="","",IF(L$4="sys/",VLOOKUP(A19:A30,#REF!,9,FALSE)))</f>
        <v/>
      </c>
      <c r="H19" s="53"/>
      <c r="I19" s="53" t="str">
        <f>IF(A19:A30="","",IF(L$4="sys/",VLOOKUP(A19:A30,#REF!,8,FALSE)))</f>
        <v/>
      </c>
      <c r="J19" s="53"/>
      <c r="K19" s="53" t="str">
        <f t="shared" si="0"/>
        <v/>
      </c>
      <c r="L19" s="85"/>
      <c r="M19" s="74"/>
      <c r="N19" s="49"/>
      <c r="O19" s="70"/>
      <c r="P19" s="48"/>
      <c r="Q19" s="73"/>
      <c r="R19" s="63" t="e">
        <f>(O19-P19)/P19+Q19</f>
        <v>#DIV/0!</v>
      </c>
      <c r="S19" s="50" t="e">
        <f>O19*J19*R19</f>
        <v>#DIV/0!</v>
      </c>
      <c r="T19" s="50">
        <f>O19*J19</f>
        <v>0</v>
      </c>
      <c r="V19" s="51"/>
    </row>
    <row r="20" spans="1:22" s="50" customFormat="1" ht="30" customHeight="1" x14ac:dyDescent="0.3">
      <c r="A20" s="68"/>
      <c r="B20" s="290" t="str">
        <f>IF(A20:A31="","",IF(L$4="sys/",VLOOKUP(A20:A31,#REF!,4,FALSE)))</f>
        <v/>
      </c>
      <c r="C20" s="291"/>
      <c r="D20" s="292"/>
      <c r="E20" s="293" t="str">
        <f>IF(A20:A31="","",IF(L$4="sys/",VLOOKUP(A20:A31,#REF!,7,FALSE)))</f>
        <v/>
      </c>
      <c r="F20" s="294"/>
      <c r="G20" s="53" t="str">
        <f>IF(A20:A31="","",IF(L$4="sys/",VLOOKUP(A20:A31,#REF!,9,FALSE)))</f>
        <v/>
      </c>
      <c r="H20" s="53"/>
      <c r="I20" s="53" t="str">
        <f>IF(A20:A31="","",IF(L$4="sys/",VLOOKUP(A20:A31,#REF!,8,FALSE)))</f>
        <v/>
      </c>
      <c r="J20" s="53"/>
      <c r="K20" s="53" t="str">
        <f t="shared" si="0"/>
        <v/>
      </c>
      <c r="L20" s="85"/>
      <c r="M20" s="74"/>
      <c r="N20" s="49"/>
      <c r="O20" s="70"/>
      <c r="P20" s="48"/>
      <c r="Q20" s="73"/>
      <c r="R20" s="63" t="e">
        <f>(O20-P20)/P20+Q20</f>
        <v>#DIV/0!</v>
      </c>
      <c r="S20" s="50" t="e">
        <f>O20*J20*R20</f>
        <v>#DIV/0!</v>
      </c>
      <c r="T20" s="50">
        <f>O20*J20</f>
        <v>0</v>
      </c>
    </row>
    <row r="21" spans="1:22" s="50" customFormat="1" ht="30" customHeight="1" x14ac:dyDescent="0.3">
      <c r="A21" s="68"/>
      <c r="B21" s="290" t="str">
        <f>IF(A21:A32="","",IF(L$4="sys/",VLOOKUP(A21:A32,#REF!,4,FALSE)))</f>
        <v/>
      </c>
      <c r="C21" s="291"/>
      <c r="D21" s="292"/>
      <c r="E21" s="293" t="str">
        <f>IF(A21:A32="","",IF(L$4="sys/",VLOOKUP(A21:A32,#REF!,7,FALSE)))</f>
        <v/>
      </c>
      <c r="F21" s="294"/>
      <c r="G21" s="53" t="str">
        <f>IF(A21:A32="","",IF(L$4="sys/",VLOOKUP(A21:A32,#REF!,9,FALSE)))</f>
        <v/>
      </c>
      <c r="H21" s="53"/>
      <c r="I21" s="53" t="str">
        <f>IF(A21:A32="","",IF(L$4="sys/",VLOOKUP(A21:A32,#REF!,8,FALSE)))</f>
        <v/>
      </c>
      <c r="J21" s="53"/>
      <c r="K21" s="53" t="str">
        <f t="shared" si="0"/>
        <v/>
      </c>
      <c r="L21" s="85"/>
      <c r="M21" s="74"/>
      <c r="N21" s="49"/>
      <c r="O21" s="70"/>
      <c r="P21" s="48"/>
      <c r="Q21" s="73"/>
      <c r="R21" s="63" t="e">
        <f>(#REF!-P21)/P21+Q21</f>
        <v>#REF!</v>
      </c>
      <c r="S21" s="50" t="e">
        <f>#REF!*#REF!*R21</f>
        <v>#REF!</v>
      </c>
      <c r="T21" s="50" t="e">
        <f>#REF!*#REF!</f>
        <v>#REF!</v>
      </c>
      <c r="V21" s="51"/>
    </row>
    <row r="22" spans="1:22" s="50" customFormat="1" ht="30" customHeight="1" x14ac:dyDescent="0.3">
      <c r="A22" s="68"/>
      <c r="B22" s="290" t="str">
        <f>IF(A22:A33="","",IF(L$4="sys/",VLOOKUP(A22:A33,#REF!,4,FALSE)))</f>
        <v/>
      </c>
      <c r="C22" s="291"/>
      <c r="D22" s="292"/>
      <c r="E22" s="293" t="str">
        <f>IF(A22:A33="","",IF(L$4="sys/",VLOOKUP(A22:A33,#REF!,7,FALSE)))</f>
        <v/>
      </c>
      <c r="F22" s="294"/>
      <c r="G22" s="53" t="str">
        <f>IF(A22:A33="","",IF(L$4="sys/",VLOOKUP(A22:A33,#REF!,9,FALSE)))</f>
        <v/>
      </c>
      <c r="H22" s="53"/>
      <c r="I22" s="53" t="str">
        <f>IF(A22:A33="","",IF(L$4="sys/",VLOOKUP(A22:A33,#REF!,8,FALSE)))</f>
        <v/>
      </c>
      <c r="J22" s="53"/>
      <c r="K22" s="53" t="str">
        <f t="shared" si="0"/>
        <v/>
      </c>
      <c r="L22" s="85"/>
      <c r="M22" s="74"/>
      <c r="N22" s="49"/>
      <c r="P22" s="48"/>
      <c r="Q22" s="73"/>
      <c r="R22" s="63" t="e">
        <f t="shared" ref="R22:R27" si="1">(O21-P22)/P22+Q22</f>
        <v>#DIV/0!</v>
      </c>
      <c r="S22" s="50" t="e">
        <f>O21*J21*R22</f>
        <v>#DIV/0!</v>
      </c>
      <c r="T22" s="50">
        <f>O21*J21</f>
        <v>0</v>
      </c>
      <c r="V22" s="51">
        <f>M38*5.5%</f>
        <v>25083.3</v>
      </c>
    </row>
    <row r="23" spans="1:22" s="50" customFormat="1" ht="30" customHeight="1" x14ac:dyDescent="0.3">
      <c r="A23" s="68"/>
      <c r="B23" s="290" t="str">
        <f>IF(A23:A34="","",IF(L$4="sys/",VLOOKUP(A23:A34,#REF!,4,FALSE)))</f>
        <v/>
      </c>
      <c r="C23" s="291"/>
      <c r="D23" s="292"/>
      <c r="E23" s="293" t="str">
        <f>IF(A23:A34="","",IF(L$4="sys/",VLOOKUP(A23:A34,#REF!,7,FALSE)))</f>
        <v/>
      </c>
      <c r="F23" s="294"/>
      <c r="G23" s="53" t="str">
        <f>IF(A23:A34="","",IF(L$4="sys/",VLOOKUP(A23:A34,#REF!,9,FALSE)))</f>
        <v/>
      </c>
      <c r="H23" s="53"/>
      <c r="I23" s="53" t="str">
        <f>IF(A23:A34="","",IF(L$4="sys/",VLOOKUP(A23:A34,#REF!,8,FALSE)))</f>
        <v/>
      </c>
      <c r="J23" s="53"/>
      <c r="K23" s="53" t="str">
        <f t="shared" si="0"/>
        <v/>
      </c>
      <c r="L23" s="85"/>
      <c r="M23" s="74"/>
      <c r="N23" s="49"/>
      <c r="Q23" s="73"/>
      <c r="R23" s="63" t="e">
        <f t="shared" si="1"/>
        <v>#DIV/0!</v>
      </c>
      <c r="S23" s="50" t="e">
        <f>O22*J22*R23</f>
        <v>#DIV/0!</v>
      </c>
      <c r="T23" s="50">
        <f>O22*J22</f>
        <v>0</v>
      </c>
      <c r="V23" s="51" t="e">
        <f>S29-V22</f>
        <v>#DIV/0!</v>
      </c>
    </row>
    <row r="24" spans="1:22" s="50" customFormat="1" ht="30" customHeight="1" x14ac:dyDescent="0.3">
      <c r="A24" s="68"/>
      <c r="B24" s="290" t="str">
        <f>IF(A24:A35="","",IF(L$4="sys/",VLOOKUP(A24:A35,#REF!,4,FALSE)))</f>
        <v/>
      </c>
      <c r="C24" s="291"/>
      <c r="D24" s="292"/>
      <c r="E24" s="293" t="str">
        <f>IF(A24:A35="","",IF(L$4="sys/",VLOOKUP(A24:A35,#REF!,7,FALSE)))</f>
        <v/>
      </c>
      <c r="F24" s="294"/>
      <c r="G24" s="53" t="str">
        <f>IF(A24:A35="","",IF(L$4="sys/",VLOOKUP(A24:A35,#REF!,9,FALSE)))</f>
        <v/>
      </c>
      <c r="H24" s="53"/>
      <c r="I24" s="53" t="str">
        <f>IF(A24:A35="","",IF(L$4="sys/",VLOOKUP(A24:A35,#REF!,8,FALSE)))</f>
        <v/>
      </c>
      <c r="J24" s="53"/>
      <c r="K24" s="53" t="str">
        <f t="shared" si="0"/>
        <v/>
      </c>
      <c r="L24" s="85"/>
      <c r="M24" s="74"/>
      <c r="N24" s="49"/>
      <c r="Q24" s="73"/>
      <c r="R24" s="63" t="e">
        <f t="shared" si="1"/>
        <v>#DIV/0!</v>
      </c>
      <c r="S24" s="50" t="e">
        <f>O23*J23*R24</f>
        <v>#DIV/0!</v>
      </c>
      <c r="T24" s="50">
        <f>O23*J23</f>
        <v>0</v>
      </c>
      <c r="V24" s="51"/>
    </row>
    <row r="25" spans="1:22" s="50" customFormat="1" ht="30" customHeight="1" x14ac:dyDescent="0.3">
      <c r="A25" s="68"/>
      <c r="B25" s="290" t="str">
        <f>IF(A25:A36="","",IF(L$4="sys/",VLOOKUP(A25:A36,#REF!,4,FALSE)))</f>
        <v/>
      </c>
      <c r="C25" s="291"/>
      <c r="D25" s="292"/>
      <c r="E25" s="293" t="str">
        <f>IF(A25:A36="","",IF(L$4="sys/",VLOOKUP(A25:A36,#REF!,7,FALSE)))</f>
        <v/>
      </c>
      <c r="F25" s="294"/>
      <c r="G25" s="53" t="str">
        <f>IF(A25:A36="","",IF(L$4="sys/",VLOOKUP(A25:A36,#REF!,9,FALSE)))</f>
        <v/>
      </c>
      <c r="H25" s="53"/>
      <c r="I25" s="53" t="str">
        <f>IF(A25:A36="","",IF(L$4="sys/",VLOOKUP(A25:A36,#REF!,8,FALSE)))</f>
        <v/>
      </c>
      <c r="J25" s="53"/>
      <c r="K25" s="53" t="str">
        <f t="shared" si="0"/>
        <v/>
      </c>
      <c r="L25" s="85"/>
      <c r="M25" s="74"/>
      <c r="N25" s="49"/>
      <c r="Q25" s="73"/>
      <c r="R25" s="63" t="e">
        <f t="shared" si="1"/>
        <v>#DIV/0!</v>
      </c>
      <c r="S25" s="50" t="e">
        <f>O24*J24*R25</f>
        <v>#DIV/0!</v>
      </c>
      <c r="T25" s="50">
        <f>O24*J24</f>
        <v>0</v>
      </c>
      <c r="V25" s="51"/>
    </row>
    <row r="26" spans="1:22" s="50" customFormat="1" ht="30" customHeight="1" x14ac:dyDescent="0.3">
      <c r="A26" s="68"/>
      <c r="B26" s="290" t="str">
        <f>IF(A26:A37="","",IF(L$4="sys/",VLOOKUP(A26:A37,#REF!,4,FALSE)))</f>
        <v/>
      </c>
      <c r="C26" s="291"/>
      <c r="D26" s="292"/>
      <c r="E26" s="293" t="str">
        <f>IF(A26:A37="","",IF(L$4="sys/",VLOOKUP(A26:A37,#REF!,7,FALSE)))</f>
        <v/>
      </c>
      <c r="F26" s="294"/>
      <c r="G26" s="53" t="str">
        <f>IF(A26:A37="","",IF(L$4="sys/",VLOOKUP(A26:A37,#REF!,9,FALSE)))</f>
        <v/>
      </c>
      <c r="H26" s="53"/>
      <c r="I26" s="53" t="str">
        <f>IF(A26:A37="","",IF(L$4="sys/",VLOOKUP(A26:A37,#REF!,8,FALSE)))</f>
        <v/>
      </c>
      <c r="J26" s="53"/>
      <c r="K26" s="53" t="str">
        <f t="shared" si="0"/>
        <v/>
      </c>
      <c r="L26" s="85"/>
      <c r="M26" s="74"/>
      <c r="N26" s="49"/>
      <c r="Q26" s="73"/>
      <c r="R26" s="63" t="e">
        <f t="shared" si="1"/>
        <v>#DIV/0!</v>
      </c>
      <c r="S26" s="50" t="e">
        <f>O25*J25*R26</f>
        <v>#DIV/0!</v>
      </c>
      <c r="V26" s="51"/>
    </row>
    <row r="27" spans="1:22" s="50" customFormat="1" ht="30" customHeight="1" x14ac:dyDescent="0.3">
      <c r="A27" s="68"/>
      <c r="B27" s="290" t="str">
        <f>IF(A27:A38="","",IF(L$4="sys/",VLOOKUP(A27:A38,#REF!,4,FALSE)))</f>
        <v/>
      </c>
      <c r="C27" s="291"/>
      <c r="D27" s="292"/>
      <c r="E27" s="293" t="str">
        <f>IF(A27:A38="","",IF(L$4="sys/",VLOOKUP(A27:A38,#REF!,7,FALSE)))</f>
        <v/>
      </c>
      <c r="F27" s="294"/>
      <c r="G27" s="53" t="str">
        <f>IF(A27:A38="","",IF(L$4="sys/",VLOOKUP(A27:A38,#REF!,9,FALSE)))</f>
        <v/>
      </c>
      <c r="H27" s="53"/>
      <c r="I27" s="53" t="str">
        <f>IF(A27:A38="","",IF(L$4="sys/",VLOOKUP(A27:A38,#REF!,8,FALSE)))</f>
        <v/>
      </c>
      <c r="J27" s="53"/>
      <c r="K27" s="53" t="str">
        <f t="shared" si="0"/>
        <v/>
      </c>
      <c r="L27" s="85"/>
      <c r="M27" s="74"/>
      <c r="N27" s="49"/>
      <c r="Q27" s="73"/>
      <c r="R27" s="63" t="e">
        <f t="shared" si="1"/>
        <v>#DIV/0!</v>
      </c>
      <c r="S27" s="50" t="e">
        <f>O26*J27*R27</f>
        <v>#DIV/0!</v>
      </c>
      <c r="V27" s="51"/>
    </row>
    <row r="28" spans="1:22" s="50" customFormat="1" ht="30" customHeight="1" x14ac:dyDescent="0.3">
      <c r="A28" s="68"/>
      <c r="B28" s="290" t="str">
        <f>IF(A28:A39="","",IF(L$4="sys/",VLOOKUP(A28:A39,#REF!,4,FALSE)))</f>
        <v/>
      </c>
      <c r="C28" s="291"/>
      <c r="D28" s="292"/>
      <c r="E28" s="293" t="str">
        <f>IF(A28:A39="","",IF(L$4="sys/",VLOOKUP(A28:A39,#REF!,7,FALSE)))</f>
        <v/>
      </c>
      <c r="F28" s="294"/>
      <c r="G28" s="53" t="str">
        <f>IF(A28:A39="","",IF(L$4="sys/",VLOOKUP(A28:A39,#REF!,9,FALSE)))</f>
        <v/>
      </c>
      <c r="H28" s="53"/>
      <c r="I28" s="53" t="str">
        <f>IF(A28:A39="","",IF(L$4="sys/",VLOOKUP(A28:A39,#REF!,8,FALSE)))</f>
        <v/>
      </c>
      <c r="J28" s="53"/>
      <c r="K28" s="53" t="str">
        <f t="shared" si="0"/>
        <v/>
      </c>
      <c r="L28" s="85"/>
      <c r="M28" s="74"/>
      <c r="N28" s="49"/>
      <c r="O28" s="76" t="s">
        <v>79</v>
      </c>
      <c r="R28" s="63"/>
      <c r="V28" s="51"/>
    </row>
    <row r="29" spans="1:22" ht="16.5" x14ac:dyDescent="0.3">
      <c r="A29" s="14" t="s">
        <v>5</v>
      </c>
      <c r="B29" s="7"/>
      <c r="C29" s="7"/>
      <c r="D29" s="7"/>
      <c r="E29" s="7"/>
      <c r="F29" s="7"/>
      <c r="G29" s="7"/>
      <c r="H29" s="7"/>
      <c r="I29" s="7"/>
      <c r="J29" s="25">
        <f>SUM(J17:J28)</f>
        <v>12000</v>
      </c>
      <c r="K29" s="25">
        <f>SUM(K17:K28)</f>
        <v>12720</v>
      </c>
      <c r="L29" s="25"/>
      <c r="M29" s="58">
        <f>SUM(M17:M28)</f>
        <v>446160</v>
      </c>
      <c r="P29" s="76"/>
      <c r="Q29" s="76"/>
      <c r="R29" s="76"/>
      <c r="S29" t="e">
        <f>SUM(S17:S28)</f>
        <v>#DIV/0!</v>
      </c>
      <c r="V29" s="47" t="e">
        <f>S29/M38</f>
        <v>#DIV/0!</v>
      </c>
    </row>
    <row r="30" spans="1:22" ht="21" x14ac:dyDescent="0.3">
      <c r="A30" s="286" t="s">
        <v>37</v>
      </c>
      <c r="B30" s="287"/>
      <c r="C30" s="271" t="s">
        <v>40</v>
      </c>
      <c r="D30" s="271"/>
      <c r="E30" s="6"/>
      <c r="F30" s="6"/>
      <c r="G30" s="6"/>
      <c r="H30" s="6"/>
      <c r="I30" s="6"/>
      <c r="J30" s="6"/>
      <c r="K30" s="295" t="s">
        <v>21</v>
      </c>
      <c r="L30" s="296"/>
      <c r="M30" s="57">
        <f>M29</f>
        <v>446160</v>
      </c>
      <c r="R30" s="46"/>
      <c r="V30" s="47"/>
    </row>
    <row r="31" spans="1:22" ht="18.75" x14ac:dyDescent="0.3">
      <c r="A31" s="286" t="s">
        <v>38</v>
      </c>
      <c r="B31" s="287"/>
      <c r="C31" s="271" t="s">
        <v>48</v>
      </c>
      <c r="D31" s="271"/>
      <c r="E31" s="6"/>
      <c r="F31" s="6"/>
      <c r="G31" s="6"/>
      <c r="H31" s="6"/>
      <c r="I31" s="6"/>
      <c r="J31" s="6"/>
      <c r="K31" s="288" t="s">
        <v>22</v>
      </c>
      <c r="L31" s="289"/>
      <c r="M31" s="56">
        <f>(R14*W13+S14*W14)*T14</f>
        <v>9900</v>
      </c>
      <c r="R31" s="47"/>
      <c r="V31" s="47"/>
    </row>
    <row r="32" spans="1:22" ht="16.5" customHeight="1" x14ac:dyDescent="0.3">
      <c r="A32" s="12" t="s">
        <v>46</v>
      </c>
      <c r="B32" s="6"/>
      <c r="C32" s="44" t="s">
        <v>28</v>
      </c>
      <c r="D32" s="6"/>
      <c r="E32" s="6"/>
      <c r="F32" s="6"/>
      <c r="G32" s="6"/>
      <c r="H32" s="6"/>
      <c r="I32" s="6"/>
      <c r="J32" s="6"/>
      <c r="K32" s="276" t="s">
        <v>26</v>
      </c>
      <c r="L32" s="277"/>
      <c r="M32" s="55">
        <v>0</v>
      </c>
      <c r="S32" s="69" t="s">
        <v>82</v>
      </c>
    </row>
    <row r="33" spans="1:19" ht="16.5" customHeight="1" x14ac:dyDescent="0.3">
      <c r="A33" s="15" t="str">
        <f>IF(B1=V1,X3,Y3)</f>
        <v>PAYEE:SINOCHEM TIANJIN CO., LTD</v>
      </c>
      <c r="B33" s="6"/>
      <c r="C33" s="6"/>
      <c r="D33" s="6"/>
      <c r="E33" s="6"/>
      <c r="F33" s="6"/>
      <c r="G33" s="6"/>
      <c r="H33" s="6"/>
      <c r="I33" s="6"/>
      <c r="J33" s="6"/>
      <c r="K33" s="276" t="s">
        <v>27</v>
      </c>
      <c r="L33" s="277"/>
      <c r="M33" s="55">
        <v>0</v>
      </c>
    </row>
    <row r="34" spans="1:19" ht="16.5" customHeight="1" x14ac:dyDescent="0.3">
      <c r="A34" s="16" t="s">
        <v>13</v>
      </c>
      <c r="B34" s="6"/>
      <c r="C34" s="6"/>
      <c r="D34" s="6"/>
      <c r="E34" s="6"/>
      <c r="F34" s="6"/>
      <c r="G34" s="6"/>
      <c r="H34" s="6"/>
      <c r="I34" s="6"/>
      <c r="J34" s="6"/>
      <c r="K34" s="6"/>
      <c r="L34" s="6"/>
      <c r="M34" s="55">
        <v>0</v>
      </c>
    </row>
    <row r="35" spans="1:19" ht="16.5" customHeight="1" x14ac:dyDescent="0.3">
      <c r="A35" s="16" t="s">
        <v>14</v>
      </c>
      <c r="B35" s="6"/>
      <c r="C35" s="6"/>
      <c r="D35" s="6"/>
      <c r="E35" s="6"/>
      <c r="F35" s="6"/>
      <c r="G35" s="6"/>
      <c r="H35" s="6"/>
      <c r="I35" s="6"/>
      <c r="J35" s="6"/>
      <c r="K35" s="6"/>
      <c r="L35" s="6"/>
      <c r="M35" s="55">
        <v>0</v>
      </c>
    </row>
    <row r="36" spans="1:19" ht="16.5" customHeight="1" x14ac:dyDescent="0.3">
      <c r="A36" s="16" t="s">
        <v>15</v>
      </c>
      <c r="B36" s="6"/>
      <c r="C36" s="6"/>
      <c r="D36" s="6"/>
      <c r="E36" s="6"/>
      <c r="F36" s="6"/>
      <c r="G36" s="6"/>
      <c r="H36" s="6"/>
      <c r="I36" s="6"/>
      <c r="J36" s="6"/>
      <c r="K36" s="6"/>
      <c r="L36" s="6"/>
      <c r="M36" s="55">
        <v>0</v>
      </c>
    </row>
    <row r="37" spans="1:19" ht="16.5" customHeight="1" x14ac:dyDescent="0.3">
      <c r="A37" s="16" t="s">
        <v>16</v>
      </c>
      <c r="B37" s="6"/>
      <c r="C37" s="6"/>
      <c r="D37" s="6"/>
      <c r="E37" s="6"/>
      <c r="F37" s="6"/>
      <c r="G37" s="6"/>
      <c r="H37" s="6"/>
      <c r="I37" s="6"/>
      <c r="J37" s="6"/>
      <c r="K37" s="6"/>
      <c r="L37" s="6"/>
      <c r="M37" s="55">
        <v>0</v>
      </c>
      <c r="O37" s="72">
        <v>426655.25</v>
      </c>
    </row>
    <row r="38" spans="1:19" ht="21.75" thickBot="1" x14ac:dyDescent="0.4">
      <c r="A38" s="16" t="str">
        <f>IF(B1=V1,X2,Y2)</f>
        <v>ACCOUNT NUMBER:10002000096220000016</v>
      </c>
      <c r="B38" s="1"/>
      <c r="C38" s="1"/>
      <c r="D38" s="1"/>
      <c r="E38" s="1"/>
      <c r="F38" s="1"/>
      <c r="G38" s="1"/>
      <c r="H38" s="1"/>
      <c r="I38" s="1"/>
      <c r="J38" s="1"/>
      <c r="K38" s="278" t="s">
        <v>25</v>
      </c>
      <c r="L38" s="279"/>
      <c r="M38" s="54">
        <f>SUM(M30+M31)</f>
        <v>456060</v>
      </c>
    </row>
    <row r="39" spans="1:19" ht="18.75" thickBot="1" x14ac:dyDescent="0.35">
      <c r="A39" s="280" t="s">
        <v>83</v>
      </c>
      <c r="B39" s="281"/>
      <c r="C39" s="282" t="e">
        <f ca="1">SpellNumber(M38)</f>
        <v>#NAME?</v>
      </c>
      <c r="D39" s="282"/>
      <c r="E39" s="282"/>
      <c r="F39" s="282"/>
      <c r="G39" s="282"/>
      <c r="H39" s="282"/>
      <c r="I39" s="282"/>
      <c r="J39" s="283"/>
      <c r="K39" s="1"/>
      <c r="L39" s="1"/>
      <c r="M39" s="45" t="s">
        <v>51</v>
      </c>
    </row>
    <row r="40" spans="1:19" x14ac:dyDescent="0.3">
      <c r="A40" s="284"/>
      <c r="B40" s="285"/>
      <c r="C40" s="285"/>
      <c r="D40" s="285"/>
      <c r="E40" s="285"/>
      <c r="F40" s="285"/>
      <c r="G40" s="285"/>
      <c r="H40" s="285"/>
      <c r="I40" s="285"/>
      <c r="J40" s="285"/>
      <c r="K40" s="1"/>
      <c r="L40" s="1"/>
      <c r="M40" s="17"/>
    </row>
    <row r="41" spans="1:19" ht="16.5" x14ac:dyDescent="0.3">
      <c r="A41" s="18" t="s">
        <v>8</v>
      </c>
      <c r="B41" s="5"/>
      <c r="C41" s="5"/>
      <c r="D41" s="5"/>
      <c r="E41" s="5"/>
      <c r="F41" s="5"/>
      <c r="G41" s="5"/>
      <c r="H41" s="5"/>
      <c r="I41" s="5"/>
      <c r="J41" s="5"/>
      <c r="K41" s="5"/>
      <c r="L41" s="5"/>
      <c r="M41" s="19"/>
    </row>
    <row r="42" spans="1:19" x14ac:dyDescent="0.3">
      <c r="A42" s="28" t="s">
        <v>4</v>
      </c>
      <c r="B42" s="27"/>
      <c r="C42" s="27" t="s">
        <v>28</v>
      </c>
      <c r="D42" s="27"/>
      <c r="E42" s="27"/>
      <c r="F42" s="27"/>
      <c r="G42" s="1"/>
      <c r="H42" s="1"/>
      <c r="I42" s="1"/>
      <c r="J42" s="1"/>
      <c r="K42" s="1"/>
      <c r="L42" s="1"/>
      <c r="M42" s="17"/>
    </row>
    <row r="43" spans="1:19" x14ac:dyDescent="0.3">
      <c r="A43" s="28" t="s">
        <v>2</v>
      </c>
      <c r="B43" s="27"/>
      <c r="C43" s="27" t="s">
        <v>28</v>
      </c>
      <c r="D43" s="27"/>
      <c r="E43" s="27"/>
      <c r="F43" s="27"/>
      <c r="G43" s="1"/>
      <c r="H43" s="1"/>
      <c r="I43" s="1"/>
      <c r="J43" s="1"/>
      <c r="K43" s="1"/>
      <c r="L43" s="1"/>
      <c r="M43" s="17"/>
      <c r="S43" t="e">
        <f ca="1">SpellNumber(M38)</f>
        <v>#NAME?</v>
      </c>
    </row>
    <row r="44" spans="1:19" x14ac:dyDescent="0.3">
      <c r="A44" s="28" t="s">
        <v>3</v>
      </c>
      <c r="B44" s="27"/>
      <c r="C44" s="27" t="s">
        <v>29</v>
      </c>
      <c r="D44" s="27"/>
      <c r="E44" s="27"/>
      <c r="F44" s="27"/>
      <c r="G44" s="1"/>
      <c r="H44" s="1"/>
      <c r="I44" s="1"/>
      <c r="J44" s="1"/>
      <c r="K44" s="1"/>
      <c r="L44" s="1"/>
      <c r="M44" s="17"/>
    </row>
    <row r="45" spans="1:19" x14ac:dyDescent="0.3">
      <c r="A45" s="28"/>
      <c r="B45" s="27"/>
      <c r="C45" s="27"/>
      <c r="D45" s="27"/>
      <c r="E45" s="27"/>
      <c r="F45" s="27"/>
      <c r="G45" s="1"/>
      <c r="H45" s="1"/>
      <c r="I45" s="1"/>
      <c r="J45" s="1"/>
      <c r="K45" s="1"/>
      <c r="L45" s="1"/>
      <c r="M45" s="17"/>
      <c r="R45" t="e">
        <f ca="1">SpellNumber(M38)</f>
        <v>#NAME?</v>
      </c>
    </row>
    <row r="46" spans="1:19" x14ac:dyDescent="0.3">
      <c r="A46" s="29" t="s">
        <v>6</v>
      </c>
      <c r="B46" s="26"/>
      <c r="C46" s="271" t="s">
        <v>24</v>
      </c>
      <c r="D46" s="271"/>
      <c r="E46" s="271"/>
      <c r="F46" s="271"/>
      <c r="G46" s="2"/>
      <c r="H46" s="2"/>
      <c r="I46" s="2"/>
      <c r="J46" s="2"/>
      <c r="K46" s="2"/>
      <c r="L46" s="2"/>
      <c r="M46" s="17"/>
      <c r="R46" t="e">
        <f ca="1">SpellNumber(M38)</f>
        <v>#NAME?</v>
      </c>
    </row>
    <row r="47" spans="1:19" x14ac:dyDescent="0.3">
      <c r="A47" s="20"/>
      <c r="B47" s="2"/>
      <c r="C47" s="2"/>
      <c r="D47" s="2"/>
      <c r="E47" s="2"/>
      <c r="F47" s="2"/>
      <c r="G47" s="2"/>
      <c r="H47" s="2"/>
      <c r="I47" s="2"/>
      <c r="J47" s="2"/>
      <c r="K47" s="2"/>
      <c r="L47" s="2"/>
      <c r="M47" s="17"/>
      <c r="R47" t="e">
        <f ca="1">SpellNumber(M38)</f>
        <v>#NAME?</v>
      </c>
    </row>
    <row r="48" spans="1:19" ht="15" customHeight="1" x14ac:dyDescent="0.3">
      <c r="A48" s="272" t="s">
        <v>30</v>
      </c>
      <c r="B48" s="273"/>
      <c r="C48" s="273"/>
      <c r="D48" s="273"/>
      <c r="E48" s="273"/>
      <c r="F48" s="273"/>
      <c r="G48" s="273"/>
      <c r="H48" s="78"/>
      <c r="I48" s="2"/>
      <c r="J48" s="2"/>
      <c r="K48" s="2"/>
      <c r="L48" s="2"/>
      <c r="M48" s="17"/>
    </row>
    <row r="49" spans="1:13" x14ac:dyDescent="0.3">
      <c r="A49" s="272"/>
      <c r="B49" s="273"/>
      <c r="C49" s="273"/>
      <c r="D49" s="273"/>
      <c r="E49" s="273"/>
      <c r="F49" s="273"/>
      <c r="G49" s="273"/>
      <c r="H49" s="78"/>
      <c r="I49" s="2"/>
      <c r="J49" s="2"/>
      <c r="K49" s="2"/>
      <c r="L49" s="2"/>
      <c r="M49" s="17"/>
    </row>
    <row r="50" spans="1:13" x14ac:dyDescent="0.3">
      <c r="A50" s="272"/>
      <c r="B50" s="273"/>
      <c r="C50" s="273"/>
      <c r="D50" s="273"/>
      <c r="E50" s="273"/>
      <c r="F50" s="273"/>
      <c r="G50" s="273"/>
      <c r="H50" s="78"/>
      <c r="I50" s="2"/>
      <c r="J50" s="2"/>
      <c r="K50" s="2"/>
      <c r="L50" s="2"/>
      <c r="M50" s="17"/>
    </row>
    <row r="51" spans="1:13" x14ac:dyDescent="0.3">
      <c r="A51" s="21" t="s">
        <v>92</v>
      </c>
      <c r="B51" s="4"/>
      <c r="C51" s="2"/>
      <c r="D51" s="2"/>
      <c r="E51" s="2"/>
      <c r="F51" s="2"/>
      <c r="G51" s="2"/>
      <c r="H51" s="2"/>
      <c r="I51" s="2"/>
      <c r="J51" s="2"/>
      <c r="K51" s="2"/>
      <c r="L51" s="2"/>
      <c r="M51" s="17"/>
    </row>
    <row r="52" spans="1:13" ht="15.75" thickBot="1" x14ac:dyDescent="0.35">
      <c r="A52" s="274" t="str">
        <f>IF(B1=V1,X1,Y1)</f>
        <v>SINOCHEM TIANJIN CO., LTD</v>
      </c>
      <c r="B52" s="275">
        <f>IF(C51=W51,Y51,Z51)</f>
        <v>0</v>
      </c>
      <c r="C52" s="275">
        <f>IF(D51=X51,Z51,AA51)</f>
        <v>0</v>
      </c>
      <c r="D52" s="275">
        <f>IF(E51=Y51,AA51,AB51)</f>
        <v>0</v>
      </c>
      <c r="E52" s="24"/>
      <c r="F52" s="22"/>
      <c r="G52" s="22"/>
      <c r="H52" s="22"/>
      <c r="I52" s="22"/>
      <c r="J52" s="22"/>
      <c r="K52" s="22"/>
      <c r="L52" s="22"/>
      <c r="M52" s="23"/>
    </row>
  </sheetData>
  <mergeCells count="53">
    <mergeCell ref="K10:L10"/>
    <mergeCell ref="K11:L11"/>
    <mergeCell ref="K12:L12"/>
    <mergeCell ref="K13:L13"/>
    <mergeCell ref="B1:F1"/>
    <mergeCell ref="L2:M2"/>
    <mergeCell ref="L3:M3"/>
    <mergeCell ref="J5:K5"/>
    <mergeCell ref="L5:M5"/>
    <mergeCell ref="O13:P14"/>
    <mergeCell ref="K14:L14"/>
    <mergeCell ref="B16:D16"/>
    <mergeCell ref="E16:F16"/>
    <mergeCell ref="B17:D17"/>
    <mergeCell ref="E17:F17"/>
    <mergeCell ref="K15:L15"/>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A31:B31"/>
    <mergeCell ref="C31:D31"/>
    <mergeCell ref="K31:L31"/>
    <mergeCell ref="B25:D25"/>
    <mergeCell ref="E25:F25"/>
    <mergeCell ref="B26:D26"/>
    <mergeCell ref="E26:F26"/>
    <mergeCell ref="B27:D27"/>
    <mergeCell ref="E27:F27"/>
    <mergeCell ref="B28:D28"/>
    <mergeCell ref="E28:F28"/>
    <mergeCell ref="A30:B30"/>
    <mergeCell ref="C30:D30"/>
    <mergeCell ref="K30:L30"/>
    <mergeCell ref="C46:F46"/>
    <mergeCell ref="A48:G50"/>
    <mergeCell ref="A52:D52"/>
    <mergeCell ref="K32:L32"/>
    <mergeCell ref="K33:L33"/>
    <mergeCell ref="K38:L38"/>
    <mergeCell ref="A39:B39"/>
    <mergeCell ref="C39:J39"/>
    <mergeCell ref="A40:J40"/>
  </mergeCells>
  <dataValidations count="2">
    <dataValidation type="list" allowBlank="1" showInputMessage="1" showErrorMessage="1" sqref="H17:H28" xr:uid="{00000000-0002-0000-0D00-000000000000}">
      <formula1>$P$5:$P$7</formula1>
    </dataValidation>
    <dataValidation type="list" allowBlank="1" showInputMessage="1" showErrorMessage="1" sqref="B1:F1" xr:uid="{00000000-0002-0000-0D00-000001000000}">
      <formula1>$V$1:$W$1</formula1>
    </dataValidation>
  </dataValidations>
  <printOptions horizontalCentered="1"/>
  <pageMargins left="0.51181102362204722" right="0.51181102362204722" top="0.51181102362204722" bottom="0.51181102362204722" header="0.51181102362204722" footer="0.23622047244094491"/>
  <pageSetup scale="65" fitToHeight="0"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pageSetUpPr fitToPage="1"/>
  </sheetPr>
  <dimension ref="A1:Y52"/>
  <sheetViews>
    <sheetView showGridLines="0" topLeftCell="A28" zoomScale="85" zoomScaleNormal="85" workbookViewId="0">
      <selection activeCell="B1" sqref="B1:F1"/>
    </sheetView>
  </sheetViews>
  <sheetFormatPr defaultRowHeight="15" x14ac:dyDescent="0.3"/>
  <cols>
    <col min="1" max="3" width="11.42578125" customWidth="1"/>
    <col min="4" max="4" width="13.5703125" customWidth="1"/>
    <col min="5" max="5" width="11.42578125" customWidth="1"/>
    <col min="6" max="6" width="17" customWidth="1"/>
    <col min="7" max="7" width="8.140625" bestFit="1" customWidth="1"/>
    <col min="8" max="8" width="8.140625" customWidth="1"/>
    <col min="9" max="12" width="11.42578125" customWidth="1"/>
    <col min="13" max="13" width="16.85546875" customWidth="1"/>
    <col min="14" max="14" width="10.85546875" bestFit="1" customWidth="1"/>
    <col min="15" max="15" width="9.85546875" bestFit="1" customWidth="1"/>
    <col min="18" max="18" width="11.85546875" bestFit="1" customWidth="1"/>
    <col min="22" max="22" width="13.7109375" bestFit="1" customWidth="1"/>
  </cols>
  <sheetData>
    <row r="1" spans="1:25" ht="78" customHeight="1" x14ac:dyDescent="0.45">
      <c r="A1" s="8"/>
      <c r="B1" s="306" t="s">
        <v>108</v>
      </c>
      <c r="C1" s="306"/>
      <c r="D1" s="306"/>
      <c r="E1" s="306"/>
      <c r="F1" s="306"/>
      <c r="G1" s="84"/>
      <c r="H1" s="84"/>
      <c r="I1" s="84"/>
      <c r="J1" s="84"/>
      <c r="K1" s="84"/>
      <c r="L1" s="84"/>
      <c r="M1" s="30" t="s">
        <v>7</v>
      </c>
      <c r="V1" s="87" t="s">
        <v>74</v>
      </c>
      <c r="W1" s="88" t="s">
        <v>108</v>
      </c>
      <c r="X1" s="38" t="s">
        <v>69</v>
      </c>
      <c r="Y1" s="38" t="s">
        <v>109</v>
      </c>
    </row>
    <row r="2" spans="1:25" ht="16.5" x14ac:dyDescent="0.3">
      <c r="A2" s="38" t="str">
        <f>IF(B1=V1,X1,Y1)</f>
        <v>SINOCHEM TIANJIN CO., LTD</v>
      </c>
      <c r="B2" s="39"/>
      <c r="C2" s="39"/>
      <c r="D2" s="9"/>
      <c r="E2" s="9"/>
      <c r="F2" s="9"/>
      <c r="G2" s="9"/>
      <c r="H2" s="9"/>
      <c r="I2" s="9"/>
      <c r="J2" s="35"/>
      <c r="K2" s="36" t="s">
        <v>45</v>
      </c>
      <c r="L2" s="307">
        <v>42278</v>
      </c>
      <c r="M2" s="308"/>
      <c r="X2" s="89" t="s">
        <v>110</v>
      </c>
      <c r="Y2" s="89" t="s">
        <v>111</v>
      </c>
    </row>
    <row r="3" spans="1:25" ht="16.5" x14ac:dyDescent="0.3">
      <c r="A3" s="40" t="s">
        <v>11</v>
      </c>
      <c r="B3" s="41"/>
      <c r="C3" s="41"/>
      <c r="D3" s="10"/>
      <c r="E3" s="10"/>
      <c r="F3" s="10"/>
      <c r="G3" s="10"/>
      <c r="H3" s="10"/>
      <c r="I3" s="10"/>
      <c r="J3" s="37"/>
      <c r="K3" s="36" t="s">
        <v>44</v>
      </c>
      <c r="L3" s="307" t="s">
        <v>96</v>
      </c>
      <c r="M3" s="308"/>
      <c r="X3" s="38" t="s">
        <v>112</v>
      </c>
      <c r="Y3" s="38" t="s">
        <v>113</v>
      </c>
    </row>
    <row r="4" spans="1:25" ht="15" customHeight="1" x14ac:dyDescent="0.3">
      <c r="A4" s="40" t="s">
        <v>12</v>
      </c>
      <c r="B4" s="41"/>
      <c r="C4" s="41"/>
      <c r="D4" s="9"/>
      <c r="E4" s="9"/>
      <c r="F4" s="9"/>
      <c r="G4" s="9"/>
      <c r="H4" s="9"/>
      <c r="I4" s="9"/>
      <c r="J4" s="35"/>
      <c r="K4" s="36" t="s">
        <v>47</v>
      </c>
      <c r="L4" s="79" t="s">
        <v>98</v>
      </c>
      <c r="M4" s="77" t="s">
        <v>121</v>
      </c>
    </row>
    <row r="5" spans="1:25" ht="16.5" x14ac:dyDescent="0.3">
      <c r="A5" s="40" t="s">
        <v>10</v>
      </c>
      <c r="B5" s="41"/>
      <c r="C5" s="41"/>
      <c r="D5" s="9"/>
      <c r="E5" s="9"/>
      <c r="F5" s="9"/>
      <c r="G5" s="9"/>
      <c r="H5" s="9"/>
      <c r="I5" s="9"/>
      <c r="J5" s="309"/>
      <c r="K5" s="309"/>
      <c r="L5" s="310"/>
      <c r="M5" s="311"/>
      <c r="P5" t="s">
        <v>105</v>
      </c>
    </row>
    <row r="6" spans="1:25" ht="16.5" x14ac:dyDescent="0.3">
      <c r="A6" s="40" t="s">
        <v>9</v>
      </c>
      <c r="B6" s="41"/>
      <c r="C6" s="41"/>
      <c r="D6" s="9"/>
      <c r="E6" s="9"/>
      <c r="F6" s="9"/>
      <c r="G6" s="9"/>
      <c r="H6" s="9"/>
      <c r="I6" s="9"/>
      <c r="J6" s="9"/>
      <c r="K6" s="9"/>
      <c r="L6" s="9"/>
      <c r="M6" s="11"/>
      <c r="P6" t="s">
        <v>106</v>
      </c>
    </row>
    <row r="7" spans="1:25" x14ac:dyDescent="0.3">
      <c r="A7" s="12"/>
      <c r="B7" s="1"/>
      <c r="C7" s="1"/>
      <c r="D7" s="9"/>
      <c r="E7" s="9"/>
      <c r="F7" s="9"/>
      <c r="G7" s="9"/>
      <c r="H7" s="9"/>
      <c r="I7" s="9"/>
      <c r="J7" s="9"/>
      <c r="K7" s="9"/>
      <c r="L7" s="9"/>
      <c r="M7" s="11"/>
      <c r="P7" t="s">
        <v>89</v>
      </c>
    </row>
    <row r="8" spans="1:25" x14ac:dyDescent="0.3">
      <c r="A8" s="12"/>
      <c r="B8" s="1"/>
      <c r="C8" s="1"/>
      <c r="D8" s="1"/>
      <c r="E8" s="1"/>
      <c r="F8" s="1"/>
      <c r="G8" s="1"/>
      <c r="H8" s="1"/>
      <c r="I8" s="1"/>
      <c r="J8" s="1"/>
      <c r="K8" s="1"/>
      <c r="L8" s="1"/>
      <c r="M8" s="11"/>
    </row>
    <row r="9" spans="1:25" ht="16.5" x14ac:dyDescent="0.3">
      <c r="A9" s="13" t="s">
        <v>1</v>
      </c>
      <c r="B9" s="3"/>
      <c r="C9" s="3"/>
      <c r="D9" s="3"/>
      <c r="E9" s="3"/>
      <c r="F9" s="3"/>
      <c r="G9" s="3"/>
      <c r="H9" s="3"/>
      <c r="I9" s="3"/>
      <c r="J9" s="3"/>
      <c r="K9" s="3"/>
      <c r="L9" s="3" t="s">
        <v>31</v>
      </c>
      <c r="M9" s="34"/>
    </row>
    <row r="10" spans="1:25" ht="16.5" x14ac:dyDescent="0.3">
      <c r="A10" s="40" t="s">
        <v>88</v>
      </c>
      <c r="B10" s="41"/>
      <c r="C10" s="41"/>
      <c r="D10" s="9"/>
      <c r="E10" s="9"/>
      <c r="F10" s="9"/>
      <c r="G10" s="9"/>
      <c r="H10" s="9"/>
      <c r="I10" s="9"/>
      <c r="J10" s="9"/>
      <c r="K10" s="299" t="s">
        <v>32</v>
      </c>
      <c r="L10" s="299"/>
      <c r="M10" s="59" t="s">
        <v>34</v>
      </c>
    </row>
    <row r="11" spans="1:25" ht="16.5" customHeight="1" x14ac:dyDescent="0.3">
      <c r="A11" s="40" t="s">
        <v>86</v>
      </c>
      <c r="B11" s="41"/>
      <c r="C11" s="41"/>
      <c r="D11" s="9"/>
      <c r="E11" s="9"/>
      <c r="F11" s="9"/>
      <c r="G11" s="9"/>
      <c r="H11" s="9"/>
      <c r="I11" s="9"/>
      <c r="J11" s="9"/>
      <c r="K11" s="299" t="s">
        <v>42</v>
      </c>
      <c r="L11" s="299"/>
      <c r="M11" s="59" t="s">
        <v>43</v>
      </c>
    </row>
    <row r="12" spans="1:25" ht="16.5" customHeight="1" x14ac:dyDescent="0.3">
      <c r="A12" s="40" t="s">
        <v>87</v>
      </c>
      <c r="B12" s="41"/>
      <c r="C12" s="41"/>
      <c r="D12" s="9"/>
      <c r="E12" s="9"/>
      <c r="F12" s="9"/>
      <c r="G12" s="9"/>
      <c r="H12" s="9"/>
      <c r="I12" s="9"/>
      <c r="J12" s="9"/>
      <c r="K12" s="299" t="s">
        <v>41</v>
      </c>
      <c r="L12" s="299"/>
      <c r="M12" s="61">
        <f xml:space="preserve"> K29</f>
        <v>15900</v>
      </c>
      <c r="W12" t="s">
        <v>80</v>
      </c>
      <c r="Y12" t="s">
        <v>36</v>
      </c>
    </row>
    <row r="13" spans="1:25" ht="16.5" customHeight="1" x14ac:dyDescent="0.3">
      <c r="A13" s="40" t="s">
        <v>85</v>
      </c>
      <c r="B13" s="41"/>
      <c r="C13" s="41"/>
      <c r="D13" s="9"/>
      <c r="E13" s="9"/>
      <c r="F13" s="9"/>
      <c r="G13" s="9"/>
      <c r="H13" s="9"/>
      <c r="I13" s="9"/>
      <c r="J13" s="9"/>
      <c r="K13" s="299" t="s">
        <v>35</v>
      </c>
      <c r="L13" s="299"/>
      <c r="M13" s="60" t="str">
        <f>IF(K29/J29=1.06,"Cartons",IF(K29/J29&gt;=1.12,"Drums","Cartons &amp; Drums"))</f>
        <v>Cartons</v>
      </c>
      <c r="O13" s="215" t="s">
        <v>77</v>
      </c>
      <c r="P13" s="215"/>
      <c r="Q13" s="83"/>
      <c r="R13" s="64" t="s">
        <v>78</v>
      </c>
      <c r="S13" s="65" t="s">
        <v>76</v>
      </c>
      <c r="T13" t="s">
        <v>95</v>
      </c>
      <c r="V13" s="51" t="s">
        <v>75</v>
      </c>
      <c r="W13" s="50">
        <v>19800</v>
      </c>
      <c r="Y13" t="s">
        <v>67</v>
      </c>
    </row>
    <row r="14" spans="1:25" ht="16.5" customHeight="1" x14ac:dyDescent="0.3">
      <c r="A14" s="42" t="s">
        <v>84</v>
      </c>
      <c r="B14" s="43"/>
      <c r="C14" s="41"/>
      <c r="D14" s="9"/>
      <c r="E14" s="9"/>
      <c r="F14" s="9"/>
      <c r="G14" s="9"/>
      <c r="H14" s="9"/>
      <c r="I14" s="9"/>
      <c r="J14" s="9"/>
      <c r="K14" s="299" t="s">
        <v>33</v>
      </c>
      <c r="L14" s="299"/>
      <c r="M14" s="60">
        <f>J29/25</f>
        <v>600</v>
      </c>
      <c r="O14" s="215"/>
      <c r="P14" s="215"/>
      <c r="Q14" s="83"/>
      <c r="R14" s="83">
        <v>1</v>
      </c>
      <c r="S14" s="66"/>
      <c r="T14">
        <v>0.63</v>
      </c>
      <c r="V14" s="51" t="s">
        <v>76</v>
      </c>
      <c r="W14" s="50">
        <v>15000</v>
      </c>
      <c r="Y14" t="s">
        <v>91</v>
      </c>
    </row>
    <row r="15" spans="1:25" ht="12" customHeight="1" x14ac:dyDescent="0.3">
      <c r="A15" s="12"/>
      <c r="B15" s="1"/>
      <c r="C15" s="43"/>
      <c r="D15" s="1"/>
      <c r="E15" s="1"/>
      <c r="F15" s="1"/>
      <c r="G15" s="1"/>
      <c r="H15" s="1"/>
      <c r="I15" s="1"/>
      <c r="J15" s="1"/>
      <c r="K15" s="299"/>
      <c r="L15" s="299"/>
      <c r="M15" s="59"/>
      <c r="Y15" t="s">
        <v>89</v>
      </c>
    </row>
    <row r="16" spans="1:25" ht="48.75" customHeight="1" x14ac:dyDescent="0.3">
      <c r="A16" s="31" t="s">
        <v>17</v>
      </c>
      <c r="B16" s="312" t="s">
        <v>0</v>
      </c>
      <c r="C16" s="312"/>
      <c r="D16" s="312"/>
      <c r="E16" s="312" t="s">
        <v>39</v>
      </c>
      <c r="F16" s="312"/>
      <c r="G16" s="32" t="s">
        <v>18</v>
      </c>
      <c r="H16" s="32" t="s">
        <v>104</v>
      </c>
      <c r="I16" s="32" t="s">
        <v>19</v>
      </c>
      <c r="J16" s="32" t="s">
        <v>20</v>
      </c>
      <c r="K16" s="32" t="s">
        <v>23</v>
      </c>
      <c r="L16" s="32" t="s">
        <v>49</v>
      </c>
      <c r="M16" s="33" t="s">
        <v>50</v>
      </c>
      <c r="O16" s="32" t="s">
        <v>72</v>
      </c>
      <c r="P16" s="32" t="s">
        <v>81</v>
      </c>
      <c r="Q16" s="32" t="s">
        <v>94</v>
      </c>
      <c r="R16" s="32" t="s">
        <v>93</v>
      </c>
      <c r="S16" s="32" t="s">
        <v>73</v>
      </c>
    </row>
    <row r="17" spans="1:22" s="50" customFormat="1" ht="30" customHeight="1" x14ac:dyDescent="0.3">
      <c r="A17" s="67">
        <v>7000</v>
      </c>
      <c r="B17" s="290" t="e">
        <f>IF(A17:A28="","",IF(L$4="sys/",VLOOKUP(A17:A28,#REF!,4,FALSE)))</f>
        <v>#REF!</v>
      </c>
      <c r="C17" s="291"/>
      <c r="D17" s="292"/>
      <c r="E17" s="293" t="e">
        <f>IF(A17:A28="","",IF(L$4="sys/",VLOOKUP(A17:A28,#REF!,7,FALSE)))</f>
        <v>#REF!</v>
      </c>
      <c r="F17" s="294"/>
      <c r="G17" s="53" t="e">
        <f>IF(A17:A28="","",IF(L$4="sys/",VLOOKUP(A17:A28,#REF!,9,FALSE)))</f>
        <v>#REF!</v>
      </c>
      <c r="H17" s="53" t="s">
        <v>105</v>
      </c>
      <c r="I17" s="53" t="e">
        <f>IF(A17:A28="","",IF(L$4="sys/",VLOOKUP(A17:A28,#REF!,8,FALSE)))</f>
        <v>#REF!</v>
      </c>
      <c r="J17" s="52">
        <v>15000</v>
      </c>
      <c r="K17" s="52">
        <f>IF(H17="","",IF(H17="carton",(J17*26.5/25),IF(H17="drum",J17*28/25,IF(H17="bale",0))))</f>
        <v>15900</v>
      </c>
      <c r="L17" s="86" t="str">
        <f>FIXED(O17-(M$31/J$29),2,1)</f>
        <v>29.17</v>
      </c>
      <c r="M17" s="74">
        <f>J17*L17</f>
        <v>437550</v>
      </c>
      <c r="N17" s="49"/>
      <c r="O17" s="70">
        <v>30</v>
      </c>
      <c r="P17" s="48"/>
      <c r="Q17" s="73"/>
      <c r="R17" s="63" t="e">
        <f>(O17-P17)/P17+Q17</f>
        <v>#DIV/0!</v>
      </c>
      <c r="S17" s="50" t="e">
        <f>O17*J17*R17</f>
        <v>#DIV/0!</v>
      </c>
      <c r="T17" s="50">
        <f>O17*J17</f>
        <v>450000</v>
      </c>
    </row>
    <row r="18" spans="1:22" s="50" customFormat="1" ht="30" customHeight="1" x14ac:dyDescent="0.3">
      <c r="A18" s="68"/>
      <c r="B18" s="290" t="str">
        <f>IF(A18:A29="","",IF(L$4="sys/",VLOOKUP(A18:A29,#REF!,4,FALSE)))</f>
        <v/>
      </c>
      <c r="C18" s="291"/>
      <c r="D18" s="292"/>
      <c r="E18" s="293" t="str">
        <f>IF(A18:A29="","",IF(L$4="sys/",VLOOKUP(A18:A29,#REF!,7,FALSE)))</f>
        <v/>
      </c>
      <c r="F18" s="294"/>
      <c r="G18" s="53" t="str">
        <f>IF(A18:A29="","",IF(L$4="sys/",VLOOKUP(A18:A29,#REF!,9,FALSE)))</f>
        <v/>
      </c>
      <c r="H18" s="53"/>
      <c r="I18" s="53" t="str">
        <f>IF(A18:A29="","",IF(L$4="sys/",VLOOKUP(A18:A29,#REF!,8,FALSE)))</f>
        <v/>
      </c>
      <c r="J18" s="53"/>
      <c r="K18" s="53" t="str">
        <f t="shared" ref="K18:K28" si="0">IF(H18="","",IF(H18="carton",(J18*26.5/25),IF(H18="drum",J18*28/25,IF(H18="bale",0))))</f>
        <v/>
      </c>
      <c r="L18" s="85"/>
      <c r="M18" s="74"/>
      <c r="N18" s="49"/>
      <c r="O18" s="70"/>
      <c r="P18" s="48"/>
      <c r="Q18" s="73"/>
      <c r="R18" s="63" t="e">
        <f>(O18-P18)/P18+Q18</f>
        <v>#DIV/0!</v>
      </c>
      <c r="S18" s="50" t="e">
        <f>O18*J18*R18</f>
        <v>#DIV/0!</v>
      </c>
      <c r="T18" s="50">
        <f>O18*J18</f>
        <v>0</v>
      </c>
    </row>
    <row r="19" spans="1:22" s="50" customFormat="1" ht="30" customHeight="1" x14ac:dyDescent="0.3">
      <c r="A19" s="68"/>
      <c r="B19" s="290" t="str">
        <f>IF(A19:A30="","",IF(L$4="sys/",VLOOKUP(A19:A30,#REF!,4,FALSE)))</f>
        <v/>
      </c>
      <c r="C19" s="291"/>
      <c r="D19" s="292"/>
      <c r="E19" s="293" t="str">
        <f>IF(A19:A30="","",IF(L$4="sys/",VLOOKUP(A19:A30,#REF!,7,FALSE)))</f>
        <v/>
      </c>
      <c r="F19" s="294"/>
      <c r="G19" s="53" t="str">
        <f>IF(A19:A30="","",IF(L$4="sys/",VLOOKUP(A19:A30,#REF!,9,FALSE)))</f>
        <v/>
      </c>
      <c r="H19" s="53"/>
      <c r="I19" s="53" t="str">
        <f>IF(A19:A30="","",IF(L$4="sys/",VLOOKUP(A19:A30,#REF!,8,FALSE)))</f>
        <v/>
      </c>
      <c r="J19" s="53"/>
      <c r="K19" s="53" t="str">
        <f t="shared" si="0"/>
        <v/>
      </c>
      <c r="L19" s="85"/>
      <c r="M19" s="74"/>
      <c r="N19" s="49"/>
      <c r="O19" s="70"/>
      <c r="P19" s="48"/>
      <c r="Q19" s="73"/>
      <c r="R19" s="63" t="e">
        <f>(O19-P19)/P19+Q19</f>
        <v>#DIV/0!</v>
      </c>
      <c r="S19" s="50" t="e">
        <f>O19*J19*R19</f>
        <v>#DIV/0!</v>
      </c>
      <c r="T19" s="50">
        <f>O19*J19</f>
        <v>0</v>
      </c>
      <c r="V19" s="51"/>
    </row>
    <row r="20" spans="1:22" s="50" customFormat="1" ht="30" customHeight="1" x14ac:dyDescent="0.3">
      <c r="A20" s="68"/>
      <c r="B20" s="290" t="str">
        <f>IF(A20:A31="","",IF(L$4="sys/",VLOOKUP(A20:A31,#REF!,4,FALSE)))</f>
        <v/>
      </c>
      <c r="C20" s="291"/>
      <c r="D20" s="292"/>
      <c r="E20" s="293" t="str">
        <f>IF(A20:A31="","",IF(L$4="sys/",VLOOKUP(A20:A31,#REF!,7,FALSE)))</f>
        <v/>
      </c>
      <c r="F20" s="294"/>
      <c r="G20" s="53" t="str">
        <f>IF(A20:A31="","",IF(L$4="sys/",VLOOKUP(A20:A31,#REF!,9,FALSE)))</f>
        <v/>
      </c>
      <c r="H20" s="53"/>
      <c r="I20" s="53" t="str">
        <f>IF(A20:A31="","",IF(L$4="sys/",VLOOKUP(A20:A31,#REF!,8,FALSE)))</f>
        <v/>
      </c>
      <c r="J20" s="53"/>
      <c r="K20" s="53" t="str">
        <f t="shared" si="0"/>
        <v/>
      </c>
      <c r="L20" s="85"/>
      <c r="M20" s="74"/>
      <c r="N20" s="49"/>
      <c r="O20" s="70"/>
      <c r="P20" s="48"/>
      <c r="Q20" s="73"/>
      <c r="R20" s="63" t="e">
        <f>(O20-P20)/P20+Q20</f>
        <v>#DIV/0!</v>
      </c>
      <c r="S20" s="50" t="e">
        <f>O20*J20*R20</f>
        <v>#DIV/0!</v>
      </c>
      <c r="T20" s="50">
        <f>O20*J20</f>
        <v>0</v>
      </c>
    </row>
    <row r="21" spans="1:22" s="50" customFormat="1" ht="30" customHeight="1" x14ac:dyDescent="0.3">
      <c r="A21" s="68"/>
      <c r="B21" s="290" t="str">
        <f>IF(A21:A32="","",IF(L$4="sys/",VLOOKUP(A21:A32,#REF!,4,FALSE)))</f>
        <v/>
      </c>
      <c r="C21" s="291"/>
      <c r="D21" s="292"/>
      <c r="E21" s="293" t="str">
        <f>IF(A21:A32="","",IF(L$4="sys/",VLOOKUP(A21:A32,#REF!,7,FALSE)))</f>
        <v/>
      </c>
      <c r="F21" s="294"/>
      <c r="G21" s="53" t="str">
        <f>IF(A21:A32="","",IF(L$4="sys/",VLOOKUP(A21:A32,#REF!,9,FALSE)))</f>
        <v/>
      </c>
      <c r="H21" s="53"/>
      <c r="I21" s="53" t="str">
        <f>IF(A21:A32="","",IF(L$4="sys/",VLOOKUP(A21:A32,#REF!,8,FALSE)))</f>
        <v/>
      </c>
      <c r="J21" s="53"/>
      <c r="K21" s="53" t="str">
        <f t="shared" si="0"/>
        <v/>
      </c>
      <c r="L21" s="85"/>
      <c r="M21" s="74"/>
      <c r="N21" s="49"/>
      <c r="O21" s="70"/>
      <c r="P21" s="48"/>
      <c r="Q21" s="73"/>
      <c r="R21" s="63" t="e">
        <f>(#REF!-P21)/P21+Q21</f>
        <v>#REF!</v>
      </c>
      <c r="S21" s="50" t="e">
        <f>#REF!*#REF!*R21</f>
        <v>#REF!</v>
      </c>
      <c r="T21" s="50" t="e">
        <f>#REF!*#REF!</f>
        <v>#REF!</v>
      </c>
      <c r="V21" s="51"/>
    </row>
    <row r="22" spans="1:22" s="50" customFormat="1" ht="30" customHeight="1" x14ac:dyDescent="0.3">
      <c r="A22" s="68"/>
      <c r="B22" s="290" t="str">
        <f>IF(A22:A33="","",IF(L$4="sys/",VLOOKUP(A22:A33,#REF!,4,FALSE)))</f>
        <v/>
      </c>
      <c r="C22" s="291"/>
      <c r="D22" s="292"/>
      <c r="E22" s="293" t="str">
        <f>IF(A22:A33="","",IF(L$4="sys/",VLOOKUP(A22:A33,#REF!,7,FALSE)))</f>
        <v/>
      </c>
      <c r="F22" s="294"/>
      <c r="G22" s="53" t="str">
        <f>IF(A22:A33="","",IF(L$4="sys/",VLOOKUP(A22:A33,#REF!,9,FALSE)))</f>
        <v/>
      </c>
      <c r="H22" s="53"/>
      <c r="I22" s="53" t="str">
        <f>IF(A22:A33="","",IF(L$4="sys/",VLOOKUP(A22:A33,#REF!,8,FALSE)))</f>
        <v/>
      </c>
      <c r="J22" s="53"/>
      <c r="K22" s="53" t="str">
        <f t="shared" si="0"/>
        <v/>
      </c>
      <c r="L22" s="85"/>
      <c r="M22" s="74"/>
      <c r="N22" s="49"/>
      <c r="P22" s="48"/>
      <c r="Q22" s="73"/>
      <c r="R22" s="63" t="e">
        <f t="shared" ref="R22:R27" si="1">(O21-P22)/P22+Q22</f>
        <v>#DIV/0!</v>
      </c>
      <c r="S22" s="50" t="e">
        <f>O21*J21*R22</f>
        <v>#DIV/0!</v>
      </c>
      <c r="T22" s="50">
        <f>O21*J21</f>
        <v>0</v>
      </c>
      <c r="V22" s="51">
        <f>M38*5.5%</f>
        <v>24751.32</v>
      </c>
    </row>
    <row r="23" spans="1:22" s="50" customFormat="1" ht="30" customHeight="1" x14ac:dyDescent="0.3">
      <c r="A23" s="68"/>
      <c r="B23" s="290" t="str">
        <f>IF(A23:A34="","",IF(L$4="sys/",VLOOKUP(A23:A34,#REF!,4,FALSE)))</f>
        <v/>
      </c>
      <c r="C23" s="291"/>
      <c r="D23" s="292"/>
      <c r="E23" s="293" t="str">
        <f>IF(A23:A34="","",IF(L$4="sys/",VLOOKUP(A23:A34,#REF!,7,FALSE)))</f>
        <v/>
      </c>
      <c r="F23" s="294"/>
      <c r="G23" s="53" t="str">
        <f>IF(A23:A34="","",IF(L$4="sys/",VLOOKUP(A23:A34,#REF!,9,FALSE)))</f>
        <v/>
      </c>
      <c r="H23" s="53"/>
      <c r="I23" s="53" t="str">
        <f>IF(A23:A34="","",IF(L$4="sys/",VLOOKUP(A23:A34,#REF!,8,FALSE)))</f>
        <v/>
      </c>
      <c r="J23" s="53"/>
      <c r="K23" s="53" t="str">
        <f t="shared" si="0"/>
        <v/>
      </c>
      <c r="L23" s="85"/>
      <c r="M23" s="74"/>
      <c r="N23" s="49"/>
      <c r="Q23" s="73"/>
      <c r="R23" s="63" t="e">
        <f t="shared" si="1"/>
        <v>#DIV/0!</v>
      </c>
      <c r="S23" s="50" t="e">
        <f>O22*J22*R23</f>
        <v>#DIV/0!</v>
      </c>
      <c r="T23" s="50">
        <f>O22*J22</f>
        <v>0</v>
      </c>
      <c r="V23" s="51" t="e">
        <f>S29-V22</f>
        <v>#DIV/0!</v>
      </c>
    </row>
    <row r="24" spans="1:22" s="50" customFormat="1" ht="30" customHeight="1" x14ac:dyDescent="0.3">
      <c r="A24" s="68"/>
      <c r="B24" s="290" t="str">
        <f>IF(A24:A35="","",IF(L$4="sys/",VLOOKUP(A24:A35,#REF!,4,FALSE)))</f>
        <v/>
      </c>
      <c r="C24" s="291"/>
      <c r="D24" s="292"/>
      <c r="E24" s="293" t="str">
        <f>IF(A24:A35="","",IF(L$4="sys/",VLOOKUP(A24:A35,#REF!,7,FALSE)))</f>
        <v/>
      </c>
      <c r="F24" s="294"/>
      <c r="G24" s="53" t="str">
        <f>IF(A24:A35="","",IF(L$4="sys/",VLOOKUP(A24:A35,#REF!,9,FALSE)))</f>
        <v/>
      </c>
      <c r="H24" s="53"/>
      <c r="I24" s="53" t="str">
        <f>IF(A24:A35="","",IF(L$4="sys/",VLOOKUP(A24:A35,#REF!,8,FALSE)))</f>
        <v/>
      </c>
      <c r="J24" s="53"/>
      <c r="K24" s="53" t="str">
        <f t="shared" si="0"/>
        <v/>
      </c>
      <c r="L24" s="85"/>
      <c r="M24" s="74"/>
      <c r="N24" s="49"/>
      <c r="Q24" s="73"/>
      <c r="R24" s="63" t="e">
        <f t="shared" si="1"/>
        <v>#DIV/0!</v>
      </c>
      <c r="S24" s="50" t="e">
        <f>O23*J23*R24</f>
        <v>#DIV/0!</v>
      </c>
      <c r="T24" s="50">
        <f>O23*J23</f>
        <v>0</v>
      </c>
      <c r="V24" s="51"/>
    </row>
    <row r="25" spans="1:22" s="50" customFormat="1" ht="30" customHeight="1" x14ac:dyDescent="0.3">
      <c r="A25" s="68"/>
      <c r="B25" s="290" t="str">
        <f>IF(A25:A36="","",IF(L$4="sys/",VLOOKUP(A25:A36,#REF!,4,FALSE)))</f>
        <v/>
      </c>
      <c r="C25" s="291"/>
      <c r="D25" s="292"/>
      <c r="E25" s="293" t="str">
        <f>IF(A25:A36="","",IF(L$4="sys/",VLOOKUP(A25:A36,#REF!,7,FALSE)))</f>
        <v/>
      </c>
      <c r="F25" s="294"/>
      <c r="G25" s="53" t="str">
        <f>IF(A25:A36="","",IF(L$4="sys/",VLOOKUP(A25:A36,#REF!,9,FALSE)))</f>
        <v/>
      </c>
      <c r="H25" s="53"/>
      <c r="I25" s="53" t="str">
        <f>IF(A25:A36="","",IF(L$4="sys/",VLOOKUP(A25:A36,#REF!,8,FALSE)))</f>
        <v/>
      </c>
      <c r="J25" s="53"/>
      <c r="K25" s="53" t="str">
        <f t="shared" si="0"/>
        <v/>
      </c>
      <c r="L25" s="85"/>
      <c r="M25" s="74"/>
      <c r="N25" s="49"/>
      <c r="Q25" s="73"/>
      <c r="R25" s="63" t="e">
        <f t="shared" si="1"/>
        <v>#DIV/0!</v>
      </c>
      <c r="S25" s="50" t="e">
        <f>O24*J24*R25</f>
        <v>#DIV/0!</v>
      </c>
      <c r="T25" s="50">
        <f>O24*J24</f>
        <v>0</v>
      </c>
      <c r="V25" s="51"/>
    </row>
    <row r="26" spans="1:22" s="50" customFormat="1" ht="30" customHeight="1" x14ac:dyDescent="0.3">
      <c r="A26" s="68"/>
      <c r="B26" s="290" t="str">
        <f>IF(A26:A37="","",IF(L$4="sys/",VLOOKUP(A26:A37,#REF!,4,FALSE)))</f>
        <v/>
      </c>
      <c r="C26" s="291"/>
      <c r="D26" s="292"/>
      <c r="E26" s="293" t="str">
        <f>IF(A26:A37="","",IF(L$4="sys/",VLOOKUP(A26:A37,#REF!,7,FALSE)))</f>
        <v/>
      </c>
      <c r="F26" s="294"/>
      <c r="G26" s="53" t="str">
        <f>IF(A26:A37="","",IF(L$4="sys/",VLOOKUP(A26:A37,#REF!,9,FALSE)))</f>
        <v/>
      </c>
      <c r="H26" s="53"/>
      <c r="I26" s="53" t="str">
        <f>IF(A26:A37="","",IF(L$4="sys/",VLOOKUP(A26:A37,#REF!,8,FALSE)))</f>
        <v/>
      </c>
      <c r="J26" s="53"/>
      <c r="K26" s="53" t="str">
        <f t="shared" si="0"/>
        <v/>
      </c>
      <c r="L26" s="85"/>
      <c r="M26" s="74"/>
      <c r="N26" s="49"/>
      <c r="Q26" s="73"/>
      <c r="R26" s="63" t="e">
        <f t="shared" si="1"/>
        <v>#DIV/0!</v>
      </c>
      <c r="S26" s="50" t="e">
        <f>O25*J25*R26</f>
        <v>#DIV/0!</v>
      </c>
      <c r="V26" s="51"/>
    </row>
    <row r="27" spans="1:22" s="50" customFormat="1" ht="30" customHeight="1" x14ac:dyDescent="0.3">
      <c r="A27" s="68"/>
      <c r="B27" s="290" t="str">
        <f>IF(A27:A38="","",IF(L$4="sys/",VLOOKUP(A27:A38,#REF!,4,FALSE)))</f>
        <v/>
      </c>
      <c r="C27" s="291"/>
      <c r="D27" s="292"/>
      <c r="E27" s="293" t="str">
        <f>IF(A27:A38="","",IF(L$4="sys/",VLOOKUP(A27:A38,#REF!,7,FALSE)))</f>
        <v/>
      </c>
      <c r="F27" s="294"/>
      <c r="G27" s="53" t="str">
        <f>IF(A27:A38="","",IF(L$4="sys/",VLOOKUP(A27:A38,#REF!,9,FALSE)))</f>
        <v/>
      </c>
      <c r="H27" s="53"/>
      <c r="I27" s="53" t="str">
        <f>IF(A27:A38="","",IF(L$4="sys/",VLOOKUP(A27:A38,#REF!,8,FALSE)))</f>
        <v/>
      </c>
      <c r="J27" s="53"/>
      <c r="K27" s="53" t="str">
        <f t="shared" si="0"/>
        <v/>
      </c>
      <c r="L27" s="85"/>
      <c r="M27" s="74"/>
      <c r="N27" s="49"/>
      <c r="Q27" s="73"/>
      <c r="R27" s="63" t="e">
        <f t="shared" si="1"/>
        <v>#DIV/0!</v>
      </c>
      <c r="S27" s="50" t="e">
        <f>O26*J27*R27</f>
        <v>#DIV/0!</v>
      </c>
      <c r="V27" s="51"/>
    </row>
    <row r="28" spans="1:22" s="50" customFormat="1" ht="30" customHeight="1" x14ac:dyDescent="0.3">
      <c r="A28" s="68"/>
      <c r="B28" s="290" t="str">
        <f>IF(A28:A39="","",IF(L$4="sys/",VLOOKUP(A28:A39,#REF!,4,FALSE)))</f>
        <v/>
      </c>
      <c r="C28" s="291"/>
      <c r="D28" s="292"/>
      <c r="E28" s="293" t="str">
        <f>IF(A28:A39="","",IF(L$4="sys/",VLOOKUP(A28:A39,#REF!,7,FALSE)))</f>
        <v/>
      </c>
      <c r="F28" s="294"/>
      <c r="G28" s="53" t="str">
        <f>IF(A28:A39="","",IF(L$4="sys/",VLOOKUP(A28:A39,#REF!,9,FALSE)))</f>
        <v/>
      </c>
      <c r="H28" s="53"/>
      <c r="I28" s="53" t="str">
        <f>IF(A28:A39="","",IF(L$4="sys/",VLOOKUP(A28:A39,#REF!,8,FALSE)))</f>
        <v/>
      </c>
      <c r="J28" s="53"/>
      <c r="K28" s="53" t="str">
        <f t="shared" si="0"/>
        <v/>
      </c>
      <c r="L28" s="85"/>
      <c r="M28" s="74"/>
      <c r="N28" s="49"/>
      <c r="O28" s="76" t="s">
        <v>79</v>
      </c>
      <c r="R28" s="63"/>
      <c r="V28" s="51"/>
    </row>
    <row r="29" spans="1:22" ht="16.5" x14ac:dyDescent="0.3">
      <c r="A29" s="14" t="s">
        <v>5</v>
      </c>
      <c r="B29" s="7"/>
      <c r="C29" s="7"/>
      <c r="D29" s="7"/>
      <c r="E29" s="7"/>
      <c r="F29" s="7"/>
      <c r="G29" s="7"/>
      <c r="H29" s="7"/>
      <c r="I29" s="7"/>
      <c r="J29" s="25">
        <f>SUM(J17:J28)</f>
        <v>15000</v>
      </c>
      <c r="K29" s="25">
        <f>SUM(K17:K28)</f>
        <v>15900</v>
      </c>
      <c r="L29" s="25"/>
      <c r="M29" s="58">
        <f>SUM(M17:M28)</f>
        <v>437550</v>
      </c>
      <c r="P29" s="76"/>
      <c r="Q29" s="76"/>
      <c r="R29" s="76"/>
      <c r="S29" t="e">
        <f>SUM(S17:S28)</f>
        <v>#DIV/0!</v>
      </c>
      <c r="V29" s="47" t="e">
        <f>S29/M38</f>
        <v>#DIV/0!</v>
      </c>
    </row>
    <row r="30" spans="1:22" ht="21" x14ac:dyDescent="0.3">
      <c r="A30" s="286" t="s">
        <v>37</v>
      </c>
      <c r="B30" s="287"/>
      <c r="C30" s="271" t="s">
        <v>40</v>
      </c>
      <c r="D30" s="271"/>
      <c r="E30" s="6"/>
      <c r="F30" s="6"/>
      <c r="G30" s="6"/>
      <c r="H30" s="6"/>
      <c r="I30" s="6"/>
      <c r="J30" s="6"/>
      <c r="K30" s="295" t="s">
        <v>21</v>
      </c>
      <c r="L30" s="296"/>
      <c r="M30" s="57">
        <f>M29</f>
        <v>437550</v>
      </c>
      <c r="R30" s="46"/>
      <c r="V30" s="47"/>
    </row>
    <row r="31" spans="1:22" ht="18.75" x14ac:dyDescent="0.3">
      <c r="A31" s="286" t="s">
        <v>38</v>
      </c>
      <c r="B31" s="287"/>
      <c r="C31" s="271" t="s">
        <v>48</v>
      </c>
      <c r="D31" s="271"/>
      <c r="E31" s="6"/>
      <c r="F31" s="6"/>
      <c r="G31" s="6"/>
      <c r="H31" s="6"/>
      <c r="I31" s="6"/>
      <c r="J31" s="6"/>
      <c r="K31" s="288" t="s">
        <v>22</v>
      </c>
      <c r="L31" s="289"/>
      <c r="M31" s="56">
        <f>(R14*W13+S14*W14)*T14</f>
        <v>12474</v>
      </c>
      <c r="R31" s="47"/>
      <c r="V31" s="47"/>
    </row>
    <row r="32" spans="1:22" ht="16.5" customHeight="1" x14ac:dyDescent="0.3">
      <c r="A32" s="12" t="s">
        <v>46</v>
      </c>
      <c r="B32" s="6"/>
      <c r="C32" s="44" t="s">
        <v>28</v>
      </c>
      <c r="D32" s="6"/>
      <c r="E32" s="6"/>
      <c r="F32" s="6"/>
      <c r="G32" s="6"/>
      <c r="H32" s="6"/>
      <c r="I32" s="6"/>
      <c r="J32" s="6"/>
      <c r="K32" s="276" t="s">
        <v>26</v>
      </c>
      <c r="L32" s="277"/>
      <c r="M32" s="55">
        <v>0</v>
      </c>
      <c r="S32" s="69" t="s">
        <v>82</v>
      </c>
    </row>
    <row r="33" spans="1:19" ht="16.5" customHeight="1" x14ac:dyDescent="0.3">
      <c r="A33" s="15" t="str">
        <f>IF(B1=V1,X3,Y3)</f>
        <v>PAYEE:SINOCHEM TIANJIN CO., LTD</v>
      </c>
      <c r="B33" s="6"/>
      <c r="C33" s="6"/>
      <c r="D33" s="6"/>
      <c r="E33" s="6"/>
      <c r="F33" s="6"/>
      <c r="G33" s="6"/>
      <c r="H33" s="6"/>
      <c r="I33" s="6"/>
      <c r="J33" s="6"/>
      <c r="K33" s="276" t="s">
        <v>27</v>
      </c>
      <c r="L33" s="277"/>
      <c r="M33" s="55">
        <v>0</v>
      </c>
    </row>
    <row r="34" spans="1:19" ht="16.5" customHeight="1" x14ac:dyDescent="0.3">
      <c r="A34" s="16" t="s">
        <v>13</v>
      </c>
      <c r="B34" s="6"/>
      <c r="C34" s="6"/>
      <c r="D34" s="6"/>
      <c r="E34" s="6"/>
      <c r="F34" s="6"/>
      <c r="G34" s="6"/>
      <c r="H34" s="6"/>
      <c r="I34" s="6"/>
      <c r="J34" s="6"/>
      <c r="K34" s="6"/>
      <c r="L34" s="6"/>
      <c r="M34" s="55">
        <v>0</v>
      </c>
    </row>
    <row r="35" spans="1:19" ht="16.5" customHeight="1" x14ac:dyDescent="0.3">
      <c r="A35" s="16" t="s">
        <v>14</v>
      </c>
      <c r="B35" s="6"/>
      <c r="C35" s="6"/>
      <c r="D35" s="6"/>
      <c r="E35" s="6"/>
      <c r="F35" s="6"/>
      <c r="G35" s="6"/>
      <c r="H35" s="6"/>
      <c r="I35" s="6"/>
      <c r="J35" s="6"/>
      <c r="K35" s="6"/>
      <c r="L35" s="6"/>
      <c r="M35" s="55">
        <v>0</v>
      </c>
    </row>
    <row r="36" spans="1:19" ht="16.5" customHeight="1" x14ac:dyDescent="0.3">
      <c r="A36" s="16" t="s">
        <v>15</v>
      </c>
      <c r="B36" s="6"/>
      <c r="C36" s="6"/>
      <c r="D36" s="6"/>
      <c r="E36" s="6"/>
      <c r="F36" s="6"/>
      <c r="G36" s="6"/>
      <c r="H36" s="6"/>
      <c r="I36" s="6"/>
      <c r="J36" s="6"/>
      <c r="K36" s="6"/>
      <c r="L36" s="6"/>
      <c r="M36" s="55">
        <v>0</v>
      </c>
    </row>
    <row r="37" spans="1:19" ht="16.5" customHeight="1" x14ac:dyDescent="0.3">
      <c r="A37" s="16" t="s">
        <v>16</v>
      </c>
      <c r="B37" s="6"/>
      <c r="C37" s="6"/>
      <c r="D37" s="6"/>
      <c r="E37" s="6"/>
      <c r="F37" s="6"/>
      <c r="G37" s="6"/>
      <c r="H37" s="6"/>
      <c r="I37" s="6"/>
      <c r="J37" s="6"/>
      <c r="K37" s="6"/>
      <c r="L37" s="6"/>
      <c r="M37" s="55">
        <v>0</v>
      </c>
      <c r="O37" s="72">
        <v>426655.25</v>
      </c>
    </row>
    <row r="38" spans="1:19" ht="21.75" thickBot="1" x14ac:dyDescent="0.4">
      <c r="A38" s="16" t="str">
        <f>IF(B1=V1,X2,Y2)</f>
        <v>ACCOUNT NUMBER:10002000096220000016</v>
      </c>
      <c r="B38" s="1"/>
      <c r="C38" s="1"/>
      <c r="D38" s="1"/>
      <c r="E38" s="1"/>
      <c r="F38" s="1"/>
      <c r="G38" s="1"/>
      <c r="H38" s="1"/>
      <c r="I38" s="1"/>
      <c r="J38" s="1"/>
      <c r="K38" s="278" t="s">
        <v>25</v>
      </c>
      <c r="L38" s="279"/>
      <c r="M38" s="54">
        <f>SUM(M30+M31)</f>
        <v>450024</v>
      </c>
    </row>
    <row r="39" spans="1:19" ht="18.75" thickBot="1" x14ac:dyDescent="0.35">
      <c r="A39" s="280" t="s">
        <v>83</v>
      </c>
      <c r="B39" s="281"/>
      <c r="C39" s="282" t="e">
        <f ca="1">SpellNumber(M38)</f>
        <v>#NAME?</v>
      </c>
      <c r="D39" s="282"/>
      <c r="E39" s="282"/>
      <c r="F39" s="282"/>
      <c r="G39" s="282"/>
      <c r="H39" s="282"/>
      <c r="I39" s="282"/>
      <c r="J39" s="283"/>
      <c r="K39" s="1"/>
      <c r="L39" s="1"/>
      <c r="M39" s="45" t="s">
        <v>51</v>
      </c>
    </row>
    <row r="40" spans="1:19" x14ac:dyDescent="0.3">
      <c r="A40" s="284"/>
      <c r="B40" s="285"/>
      <c r="C40" s="285"/>
      <c r="D40" s="285"/>
      <c r="E40" s="285"/>
      <c r="F40" s="285"/>
      <c r="G40" s="285"/>
      <c r="H40" s="285"/>
      <c r="I40" s="285"/>
      <c r="J40" s="285"/>
      <c r="K40" s="1"/>
      <c r="L40" s="1"/>
      <c r="M40" s="17"/>
    </row>
    <row r="41" spans="1:19" ht="16.5" x14ac:dyDescent="0.3">
      <c r="A41" s="18" t="s">
        <v>8</v>
      </c>
      <c r="B41" s="5"/>
      <c r="C41" s="5"/>
      <c r="D41" s="5"/>
      <c r="E41" s="5"/>
      <c r="F41" s="5"/>
      <c r="G41" s="5"/>
      <c r="H41" s="5"/>
      <c r="I41" s="5"/>
      <c r="J41" s="5"/>
      <c r="K41" s="5"/>
      <c r="L41" s="5"/>
      <c r="M41" s="19"/>
    </row>
    <row r="42" spans="1:19" x14ac:dyDescent="0.3">
      <c r="A42" s="28" t="s">
        <v>4</v>
      </c>
      <c r="B42" s="27"/>
      <c r="C42" s="27" t="s">
        <v>28</v>
      </c>
      <c r="D42" s="27"/>
      <c r="E42" s="27"/>
      <c r="F42" s="27"/>
      <c r="G42" s="1"/>
      <c r="H42" s="1"/>
      <c r="I42" s="1"/>
      <c r="J42" s="1"/>
      <c r="K42" s="1"/>
      <c r="L42" s="1"/>
      <c r="M42" s="17"/>
    </row>
    <row r="43" spans="1:19" x14ac:dyDescent="0.3">
      <c r="A43" s="28" t="s">
        <v>2</v>
      </c>
      <c r="B43" s="27"/>
      <c r="C43" s="27" t="s">
        <v>28</v>
      </c>
      <c r="D43" s="27"/>
      <c r="E43" s="27"/>
      <c r="F43" s="27"/>
      <c r="G43" s="1"/>
      <c r="H43" s="1"/>
      <c r="I43" s="1"/>
      <c r="J43" s="1"/>
      <c r="K43" s="1"/>
      <c r="L43" s="1"/>
      <c r="M43" s="17"/>
      <c r="S43" t="e">
        <f ca="1">SpellNumber(M38)</f>
        <v>#NAME?</v>
      </c>
    </row>
    <row r="44" spans="1:19" x14ac:dyDescent="0.3">
      <c r="A44" s="28" t="s">
        <v>3</v>
      </c>
      <c r="B44" s="27"/>
      <c r="C44" s="27" t="s">
        <v>29</v>
      </c>
      <c r="D44" s="27"/>
      <c r="E44" s="27"/>
      <c r="F44" s="27"/>
      <c r="G44" s="1"/>
      <c r="H44" s="1"/>
      <c r="I44" s="1"/>
      <c r="J44" s="1"/>
      <c r="K44" s="1"/>
      <c r="L44" s="1"/>
      <c r="M44" s="17"/>
    </row>
    <row r="45" spans="1:19" x14ac:dyDescent="0.3">
      <c r="A45" s="28"/>
      <c r="B45" s="27"/>
      <c r="C45" s="27"/>
      <c r="D45" s="27"/>
      <c r="E45" s="27"/>
      <c r="F45" s="27"/>
      <c r="G45" s="1"/>
      <c r="H45" s="1"/>
      <c r="I45" s="1"/>
      <c r="J45" s="1"/>
      <c r="K45" s="1"/>
      <c r="L45" s="1"/>
      <c r="M45" s="17"/>
      <c r="R45" t="e">
        <f ca="1">SpellNumber(M38)</f>
        <v>#NAME?</v>
      </c>
    </row>
    <row r="46" spans="1:19" x14ac:dyDescent="0.3">
      <c r="A46" s="29" t="s">
        <v>6</v>
      </c>
      <c r="B46" s="26"/>
      <c r="C46" s="271" t="s">
        <v>24</v>
      </c>
      <c r="D46" s="271"/>
      <c r="E46" s="271"/>
      <c r="F46" s="271"/>
      <c r="G46" s="2"/>
      <c r="H46" s="2"/>
      <c r="I46" s="2"/>
      <c r="J46" s="2"/>
      <c r="K46" s="2"/>
      <c r="L46" s="2"/>
      <c r="M46" s="17"/>
      <c r="R46" t="e">
        <f ca="1">SpellNumber(M38)</f>
        <v>#NAME?</v>
      </c>
    </row>
    <row r="47" spans="1:19" x14ac:dyDescent="0.3">
      <c r="A47" s="20"/>
      <c r="B47" s="2"/>
      <c r="C47" s="2"/>
      <c r="D47" s="2"/>
      <c r="E47" s="2"/>
      <c r="F47" s="2"/>
      <c r="G47" s="2"/>
      <c r="H47" s="2"/>
      <c r="I47" s="2"/>
      <c r="J47" s="2"/>
      <c r="K47" s="2"/>
      <c r="L47" s="2"/>
      <c r="M47" s="17"/>
      <c r="R47" t="e">
        <f ca="1">SpellNumber(M38)</f>
        <v>#NAME?</v>
      </c>
    </row>
    <row r="48" spans="1:19" ht="15" customHeight="1" x14ac:dyDescent="0.3">
      <c r="A48" s="272" t="s">
        <v>30</v>
      </c>
      <c r="B48" s="273"/>
      <c r="C48" s="273"/>
      <c r="D48" s="273"/>
      <c r="E48" s="273"/>
      <c r="F48" s="273"/>
      <c r="G48" s="273"/>
      <c r="H48" s="78"/>
      <c r="I48" s="2"/>
      <c r="J48" s="2"/>
      <c r="K48" s="2"/>
      <c r="L48" s="2"/>
      <c r="M48" s="17"/>
    </row>
    <row r="49" spans="1:13" x14ac:dyDescent="0.3">
      <c r="A49" s="272"/>
      <c r="B49" s="273"/>
      <c r="C49" s="273"/>
      <c r="D49" s="273"/>
      <c r="E49" s="273"/>
      <c r="F49" s="273"/>
      <c r="G49" s="273"/>
      <c r="H49" s="78"/>
      <c r="I49" s="2"/>
      <c r="J49" s="2"/>
      <c r="K49" s="2"/>
      <c r="L49" s="2"/>
      <c r="M49" s="17"/>
    </row>
    <row r="50" spans="1:13" x14ac:dyDescent="0.3">
      <c r="A50" s="272"/>
      <c r="B50" s="273"/>
      <c r="C50" s="273"/>
      <c r="D50" s="273"/>
      <c r="E50" s="273"/>
      <c r="F50" s="273"/>
      <c r="G50" s="273"/>
      <c r="H50" s="78"/>
      <c r="I50" s="2"/>
      <c r="J50" s="2"/>
      <c r="K50" s="2"/>
      <c r="L50" s="2"/>
      <c r="M50" s="17"/>
    </row>
    <row r="51" spans="1:13" x14ac:dyDescent="0.3">
      <c r="A51" s="21" t="s">
        <v>92</v>
      </c>
      <c r="B51" s="4"/>
      <c r="C51" s="2"/>
      <c r="D51" s="2"/>
      <c r="E51" s="2"/>
      <c r="F51" s="2"/>
      <c r="G51" s="2"/>
      <c r="H51" s="2"/>
      <c r="I51" s="2"/>
      <c r="J51" s="2"/>
      <c r="K51" s="2"/>
      <c r="L51" s="2"/>
      <c r="M51" s="17"/>
    </row>
    <row r="52" spans="1:13" ht="15.75" thickBot="1" x14ac:dyDescent="0.35">
      <c r="A52" s="274" t="str">
        <f>IF(B1=V1,X1,Y1)</f>
        <v>SINOCHEM TIANJIN CO., LTD</v>
      </c>
      <c r="B52" s="275">
        <f>IF(C51=W51,Y51,Z51)</f>
        <v>0</v>
      </c>
      <c r="C52" s="275">
        <f>IF(D51=X51,Z51,AA51)</f>
        <v>0</v>
      </c>
      <c r="D52" s="275">
        <f>IF(E51=Y51,AA51,AB51)</f>
        <v>0</v>
      </c>
      <c r="E52" s="24"/>
      <c r="F52" s="22"/>
      <c r="G52" s="22"/>
      <c r="H52" s="22"/>
      <c r="I52" s="22"/>
      <c r="J52" s="22"/>
      <c r="K52" s="22"/>
      <c r="L52" s="22"/>
      <c r="M52" s="23"/>
    </row>
  </sheetData>
  <mergeCells count="53">
    <mergeCell ref="K10:L10"/>
    <mergeCell ref="K11:L11"/>
    <mergeCell ref="K12:L12"/>
    <mergeCell ref="K13:L13"/>
    <mergeCell ref="B1:F1"/>
    <mergeCell ref="L2:M2"/>
    <mergeCell ref="L3:M3"/>
    <mergeCell ref="J5:K5"/>
    <mergeCell ref="L5:M5"/>
    <mergeCell ref="O13:P14"/>
    <mergeCell ref="K14:L14"/>
    <mergeCell ref="B16:D16"/>
    <mergeCell ref="E16:F16"/>
    <mergeCell ref="B17:D17"/>
    <mergeCell ref="E17:F17"/>
    <mergeCell ref="K15:L15"/>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A31:B31"/>
    <mergeCell ref="C31:D31"/>
    <mergeCell ref="K31:L31"/>
    <mergeCell ref="B25:D25"/>
    <mergeCell ref="E25:F25"/>
    <mergeCell ref="B26:D26"/>
    <mergeCell ref="E26:F26"/>
    <mergeCell ref="B27:D27"/>
    <mergeCell ref="E27:F27"/>
    <mergeCell ref="B28:D28"/>
    <mergeCell ref="E28:F28"/>
    <mergeCell ref="A30:B30"/>
    <mergeCell ref="C30:D30"/>
    <mergeCell ref="K30:L30"/>
    <mergeCell ref="C46:F46"/>
    <mergeCell ref="A48:G50"/>
    <mergeCell ref="A52:D52"/>
    <mergeCell ref="K32:L32"/>
    <mergeCell ref="K33:L33"/>
    <mergeCell ref="K38:L38"/>
    <mergeCell ref="A39:B39"/>
    <mergeCell ref="C39:J39"/>
    <mergeCell ref="A40:J40"/>
  </mergeCells>
  <dataValidations count="2">
    <dataValidation type="list" allowBlank="1" showInputMessage="1" showErrorMessage="1" sqref="H17:H28" xr:uid="{00000000-0002-0000-0E00-000000000000}">
      <formula1>$P$5:$P$7</formula1>
    </dataValidation>
    <dataValidation type="list" allowBlank="1" showInputMessage="1" showErrorMessage="1" sqref="B1:F1" xr:uid="{00000000-0002-0000-0E00-000001000000}">
      <formula1>$V$1:$W$1</formula1>
    </dataValidation>
  </dataValidations>
  <printOptions horizontalCentered="1"/>
  <pageMargins left="0.51181102362204722" right="0.51181102362204722" top="0.51181102362204722" bottom="0.51181102362204722" header="0.51181102362204722" footer="0.23622047244094491"/>
  <pageSetup scale="65" fitToHeight="0"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pageSetUpPr fitToPage="1"/>
  </sheetPr>
  <dimension ref="A1:Y52"/>
  <sheetViews>
    <sheetView showGridLines="0" topLeftCell="C25" zoomScale="85" zoomScaleNormal="85" workbookViewId="0">
      <selection activeCell="T485" sqref="T485"/>
    </sheetView>
  </sheetViews>
  <sheetFormatPr defaultRowHeight="15" x14ac:dyDescent="0.3"/>
  <cols>
    <col min="1" max="3" width="11.42578125" customWidth="1"/>
    <col min="4" max="4" width="13.5703125" customWidth="1"/>
    <col min="5" max="5" width="11.42578125" customWidth="1"/>
    <col min="6" max="6" width="17" customWidth="1"/>
    <col min="7" max="7" width="8.140625" bestFit="1" customWidth="1"/>
    <col min="8" max="8" width="8.140625" customWidth="1"/>
    <col min="9" max="12" width="11.42578125" customWidth="1"/>
    <col min="13" max="13" width="16.85546875" customWidth="1"/>
    <col min="14" max="14" width="10.85546875" bestFit="1" customWidth="1"/>
    <col min="15" max="15" width="9.85546875" bestFit="1" customWidth="1"/>
    <col min="18" max="18" width="11.85546875" bestFit="1" customWidth="1"/>
    <col min="22" max="22" width="13.7109375" bestFit="1" customWidth="1"/>
  </cols>
  <sheetData>
    <row r="1" spans="1:25" ht="78" customHeight="1" x14ac:dyDescent="0.45">
      <c r="A1" s="8"/>
      <c r="B1" s="306" t="s">
        <v>108</v>
      </c>
      <c r="C1" s="306"/>
      <c r="D1" s="306"/>
      <c r="E1" s="306"/>
      <c r="F1" s="306"/>
      <c r="G1" s="84"/>
      <c r="H1" s="84"/>
      <c r="I1" s="84"/>
      <c r="J1" s="84"/>
      <c r="K1" s="84"/>
      <c r="L1" s="84"/>
      <c r="M1" s="30" t="s">
        <v>7</v>
      </c>
      <c r="V1" s="87" t="s">
        <v>74</v>
      </c>
      <c r="W1" s="88" t="s">
        <v>108</v>
      </c>
      <c r="X1" s="38" t="s">
        <v>69</v>
      </c>
      <c r="Y1" s="38" t="s">
        <v>109</v>
      </c>
    </row>
    <row r="2" spans="1:25" ht="16.5" x14ac:dyDescent="0.3">
      <c r="A2" s="38" t="str">
        <f>IF(B1=V1,X1,Y1)</f>
        <v>SINOCHEM TIANJIN CO., LTD</v>
      </c>
      <c r="B2" s="39"/>
      <c r="C2" s="39"/>
      <c r="D2" s="9"/>
      <c r="E2" s="9"/>
      <c r="F2" s="9"/>
      <c r="G2" s="9"/>
      <c r="H2" s="9"/>
      <c r="I2" s="9"/>
      <c r="J2" s="35"/>
      <c r="K2" s="36" t="s">
        <v>45</v>
      </c>
      <c r="L2" s="307">
        <v>42278</v>
      </c>
      <c r="M2" s="308"/>
      <c r="X2" s="89" t="s">
        <v>110</v>
      </c>
      <c r="Y2" s="89" t="s">
        <v>111</v>
      </c>
    </row>
    <row r="3" spans="1:25" ht="16.5" x14ac:dyDescent="0.3">
      <c r="A3" s="40" t="s">
        <v>11</v>
      </c>
      <c r="B3" s="41"/>
      <c r="C3" s="41"/>
      <c r="D3" s="10"/>
      <c r="E3" s="10"/>
      <c r="F3" s="10"/>
      <c r="G3" s="10"/>
      <c r="H3" s="10"/>
      <c r="I3" s="10"/>
      <c r="J3" s="37"/>
      <c r="K3" s="36" t="s">
        <v>44</v>
      </c>
      <c r="L3" s="307" t="s">
        <v>96</v>
      </c>
      <c r="M3" s="308"/>
      <c r="X3" s="38" t="s">
        <v>112</v>
      </c>
      <c r="Y3" s="38" t="s">
        <v>113</v>
      </c>
    </row>
    <row r="4" spans="1:25" ht="15" customHeight="1" x14ac:dyDescent="0.3">
      <c r="A4" s="40" t="s">
        <v>12</v>
      </c>
      <c r="B4" s="41"/>
      <c r="C4" s="41"/>
      <c r="D4" s="9"/>
      <c r="E4" s="9"/>
      <c r="F4" s="9"/>
      <c r="G4" s="9"/>
      <c r="H4" s="9"/>
      <c r="I4" s="9"/>
      <c r="J4" s="35"/>
      <c r="K4" s="36" t="s">
        <v>47</v>
      </c>
      <c r="L4" s="79" t="s">
        <v>98</v>
      </c>
      <c r="M4" s="77" t="s">
        <v>120</v>
      </c>
    </row>
    <row r="5" spans="1:25" ht="16.5" x14ac:dyDescent="0.3">
      <c r="A5" s="40" t="s">
        <v>10</v>
      </c>
      <c r="B5" s="41"/>
      <c r="C5" s="41"/>
      <c r="D5" s="9"/>
      <c r="E5" s="9"/>
      <c r="F5" s="9"/>
      <c r="G5" s="9"/>
      <c r="H5" s="9"/>
      <c r="I5" s="9"/>
      <c r="J5" s="309"/>
      <c r="K5" s="309"/>
      <c r="L5" s="310"/>
      <c r="M5" s="311"/>
      <c r="P5" t="s">
        <v>105</v>
      </c>
    </row>
    <row r="6" spans="1:25" ht="16.5" x14ac:dyDescent="0.3">
      <c r="A6" s="40" t="s">
        <v>9</v>
      </c>
      <c r="B6" s="41"/>
      <c r="C6" s="41"/>
      <c r="D6" s="9"/>
      <c r="E6" s="9"/>
      <c r="F6" s="9"/>
      <c r="G6" s="9"/>
      <c r="H6" s="9"/>
      <c r="I6" s="9"/>
      <c r="J6" s="9"/>
      <c r="K6" s="9"/>
      <c r="L6" s="9"/>
      <c r="M6" s="11"/>
      <c r="P6" t="s">
        <v>106</v>
      </c>
    </row>
    <row r="7" spans="1:25" x14ac:dyDescent="0.3">
      <c r="A7" s="12"/>
      <c r="B7" s="1"/>
      <c r="C7" s="1"/>
      <c r="D7" s="9"/>
      <c r="E7" s="9"/>
      <c r="F7" s="9"/>
      <c r="G7" s="9"/>
      <c r="H7" s="9"/>
      <c r="I7" s="9"/>
      <c r="J7" s="9"/>
      <c r="K7" s="9"/>
      <c r="L7" s="9"/>
      <c r="M7" s="11"/>
      <c r="P7" t="s">
        <v>89</v>
      </c>
    </row>
    <row r="8" spans="1:25" x14ac:dyDescent="0.3">
      <c r="A8" s="12"/>
      <c r="B8" s="1"/>
      <c r="C8" s="1"/>
      <c r="D8" s="1"/>
      <c r="E8" s="1"/>
      <c r="F8" s="1"/>
      <c r="G8" s="1"/>
      <c r="H8" s="1"/>
      <c r="I8" s="1"/>
      <c r="J8" s="1"/>
      <c r="K8" s="1"/>
      <c r="L8" s="1"/>
      <c r="M8" s="11"/>
    </row>
    <row r="9" spans="1:25" ht="16.5" x14ac:dyDescent="0.3">
      <c r="A9" s="13" t="s">
        <v>1</v>
      </c>
      <c r="B9" s="3"/>
      <c r="C9" s="3"/>
      <c r="D9" s="3"/>
      <c r="E9" s="3"/>
      <c r="F9" s="3"/>
      <c r="G9" s="3"/>
      <c r="H9" s="3"/>
      <c r="I9" s="3"/>
      <c r="J9" s="3"/>
      <c r="K9" s="3"/>
      <c r="L9" s="3" t="s">
        <v>31</v>
      </c>
      <c r="M9" s="34"/>
    </row>
    <row r="10" spans="1:25" ht="16.5" x14ac:dyDescent="0.3">
      <c r="A10" s="40" t="s">
        <v>88</v>
      </c>
      <c r="B10" s="41"/>
      <c r="C10" s="41"/>
      <c r="D10" s="9"/>
      <c r="E10" s="9"/>
      <c r="F10" s="9"/>
      <c r="G10" s="9"/>
      <c r="H10" s="9"/>
      <c r="I10" s="9"/>
      <c r="J10" s="9"/>
      <c r="K10" s="299" t="s">
        <v>32</v>
      </c>
      <c r="L10" s="299"/>
      <c r="M10" s="59" t="s">
        <v>34</v>
      </c>
    </row>
    <row r="11" spans="1:25" ht="16.5" customHeight="1" x14ac:dyDescent="0.3">
      <c r="A11" s="40" t="s">
        <v>86</v>
      </c>
      <c r="B11" s="41"/>
      <c r="C11" s="41"/>
      <c r="D11" s="9"/>
      <c r="E11" s="9"/>
      <c r="F11" s="9"/>
      <c r="G11" s="9"/>
      <c r="H11" s="9"/>
      <c r="I11" s="9"/>
      <c r="J11" s="9"/>
      <c r="K11" s="299" t="s">
        <v>42</v>
      </c>
      <c r="L11" s="299"/>
      <c r="M11" s="59" t="s">
        <v>43</v>
      </c>
    </row>
    <row r="12" spans="1:25" ht="16.5" customHeight="1" x14ac:dyDescent="0.3">
      <c r="A12" s="40" t="s">
        <v>87</v>
      </c>
      <c r="B12" s="41"/>
      <c r="C12" s="41"/>
      <c r="D12" s="9"/>
      <c r="E12" s="9"/>
      <c r="F12" s="9"/>
      <c r="G12" s="9"/>
      <c r="H12" s="9"/>
      <c r="I12" s="9"/>
      <c r="J12" s="9"/>
      <c r="K12" s="299" t="s">
        <v>41</v>
      </c>
      <c r="L12" s="299"/>
      <c r="M12" s="61">
        <f xml:space="preserve"> K29</f>
        <v>10070</v>
      </c>
      <c r="W12" t="s">
        <v>80</v>
      </c>
      <c r="Y12" t="s">
        <v>36</v>
      </c>
    </row>
    <row r="13" spans="1:25" ht="16.5" customHeight="1" x14ac:dyDescent="0.3">
      <c r="A13" s="40" t="s">
        <v>85</v>
      </c>
      <c r="B13" s="41"/>
      <c r="C13" s="41"/>
      <c r="D13" s="9"/>
      <c r="E13" s="9"/>
      <c r="F13" s="9"/>
      <c r="G13" s="9"/>
      <c r="H13" s="9"/>
      <c r="I13" s="9"/>
      <c r="J13" s="9"/>
      <c r="K13" s="299" t="s">
        <v>35</v>
      </c>
      <c r="L13" s="299"/>
      <c r="M13" s="60" t="str">
        <f>IF(K29/J29=1.06,"Cartons",IF(K29/J29&gt;=1.12,"Drums","Cartons &amp; Drums"))</f>
        <v>Cartons</v>
      </c>
      <c r="O13" s="215" t="s">
        <v>77</v>
      </c>
      <c r="P13" s="215"/>
      <c r="Q13" s="83"/>
      <c r="R13" s="64" t="s">
        <v>78</v>
      </c>
      <c r="S13" s="65" t="s">
        <v>76</v>
      </c>
      <c r="T13" t="s">
        <v>95</v>
      </c>
      <c r="V13" s="51" t="s">
        <v>75</v>
      </c>
      <c r="W13" s="50">
        <v>19800</v>
      </c>
      <c r="Y13" t="s">
        <v>67</v>
      </c>
    </row>
    <row r="14" spans="1:25" ht="16.5" customHeight="1" x14ac:dyDescent="0.3">
      <c r="A14" s="42" t="s">
        <v>84</v>
      </c>
      <c r="B14" s="43"/>
      <c r="C14" s="41"/>
      <c r="D14" s="9"/>
      <c r="E14" s="9"/>
      <c r="F14" s="9"/>
      <c r="G14" s="9"/>
      <c r="H14" s="9"/>
      <c r="I14" s="9"/>
      <c r="J14" s="9"/>
      <c r="K14" s="299" t="s">
        <v>33</v>
      </c>
      <c r="L14" s="299"/>
      <c r="M14" s="60">
        <f>J29/25</f>
        <v>380</v>
      </c>
      <c r="O14" s="215"/>
      <c r="P14" s="215"/>
      <c r="Q14" s="83"/>
      <c r="R14" s="83">
        <v>1</v>
      </c>
      <c r="S14" s="66"/>
      <c r="T14">
        <v>0.4</v>
      </c>
      <c r="V14" s="51" t="s">
        <v>76</v>
      </c>
      <c r="W14" s="50">
        <v>15000</v>
      </c>
      <c r="Y14" t="s">
        <v>91</v>
      </c>
    </row>
    <row r="15" spans="1:25" ht="12" customHeight="1" x14ac:dyDescent="0.3">
      <c r="A15" s="12"/>
      <c r="B15" s="1"/>
      <c r="C15" s="43"/>
      <c r="D15" s="1"/>
      <c r="E15" s="1"/>
      <c r="F15" s="1"/>
      <c r="G15" s="1"/>
      <c r="H15" s="1"/>
      <c r="I15" s="1"/>
      <c r="J15" s="1"/>
      <c r="K15" s="299"/>
      <c r="L15" s="299"/>
      <c r="M15" s="59"/>
      <c r="Y15" t="s">
        <v>89</v>
      </c>
    </row>
    <row r="16" spans="1:25" ht="48.75" customHeight="1" x14ac:dyDescent="0.3">
      <c r="A16" s="31" t="s">
        <v>17</v>
      </c>
      <c r="B16" s="312" t="s">
        <v>0</v>
      </c>
      <c r="C16" s="312"/>
      <c r="D16" s="312"/>
      <c r="E16" s="312" t="s">
        <v>39</v>
      </c>
      <c r="F16" s="312"/>
      <c r="G16" s="32" t="s">
        <v>18</v>
      </c>
      <c r="H16" s="32" t="s">
        <v>104</v>
      </c>
      <c r="I16" s="32" t="s">
        <v>19</v>
      </c>
      <c r="J16" s="32" t="s">
        <v>20</v>
      </c>
      <c r="K16" s="32" t="s">
        <v>23</v>
      </c>
      <c r="L16" s="32" t="s">
        <v>49</v>
      </c>
      <c r="M16" s="33" t="s">
        <v>50</v>
      </c>
      <c r="O16" s="32" t="s">
        <v>72</v>
      </c>
      <c r="P16" s="32" t="s">
        <v>81</v>
      </c>
      <c r="Q16" s="32" t="s">
        <v>94</v>
      </c>
      <c r="R16" s="32" t="s">
        <v>93</v>
      </c>
      <c r="S16" s="32" t="s">
        <v>73</v>
      </c>
    </row>
    <row r="17" spans="1:22" s="50" customFormat="1" ht="30" customHeight="1" x14ac:dyDescent="0.3">
      <c r="A17" s="67">
        <v>2572</v>
      </c>
      <c r="B17" s="290" t="e">
        <f>IF(A17:A28="","",IF(L$4="sys/",VLOOKUP(A17:A28,#REF!,4,FALSE)))</f>
        <v>#REF!</v>
      </c>
      <c r="C17" s="291"/>
      <c r="D17" s="292"/>
      <c r="E17" s="293" t="e">
        <f>IF(A17:A28="","",IF(L$4="sys/",VLOOKUP(A17:A28,#REF!,7,FALSE)))</f>
        <v>#REF!</v>
      </c>
      <c r="F17" s="294"/>
      <c r="G17" s="53" t="e">
        <f>IF(A17:A28="","",IF(L$4="sys/",VLOOKUP(A17:A28,#REF!,9,FALSE)))</f>
        <v>#REF!</v>
      </c>
      <c r="H17" s="53" t="s">
        <v>105</v>
      </c>
      <c r="I17" s="53" t="e">
        <f>IF(A17:A28="","",IF(L$4="sys/",VLOOKUP(A17:A28,#REF!,8,FALSE)))</f>
        <v>#REF!</v>
      </c>
      <c r="J17" s="52">
        <v>800</v>
      </c>
      <c r="K17" s="52">
        <f>IF(H17="","",IF(H17="carton",(J17*26.5/25),IF(H17="drum",J17*28/25,IF(H17="bale",0))))</f>
        <v>848</v>
      </c>
      <c r="L17" s="86" t="str">
        <f t="shared" ref="L17:L22" si="0">FIXED(O17-(M$31/J$29),2,1)</f>
        <v>37.67</v>
      </c>
      <c r="M17" s="74">
        <f t="shared" ref="M17:M22" si="1">J17*L17</f>
        <v>30136</v>
      </c>
      <c r="N17" s="49"/>
      <c r="O17" s="70">
        <v>38.5</v>
      </c>
      <c r="P17" s="48"/>
      <c r="Q17" s="73"/>
      <c r="R17" s="63" t="e">
        <f>(O17-P17)/P17+Q17</f>
        <v>#DIV/0!</v>
      </c>
      <c r="S17" s="50" t="e">
        <f>O17*J17*R17</f>
        <v>#DIV/0!</v>
      </c>
      <c r="T17" s="50">
        <f>O17*J17</f>
        <v>30800</v>
      </c>
    </row>
    <row r="18" spans="1:22" s="50" customFormat="1" ht="30" customHeight="1" x14ac:dyDescent="0.3">
      <c r="A18" s="68">
        <v>2652</v>
      </c>
      <c r="B18" s="290" t="e">
        <f>IF(A18:A29="","",IF(L$4="sys/",VLOOKUP(A18:A29,#REF!,4,FALSE)))</f>
        <v>#REF!</v>
      </c>
      <c r="C18" s="291"/>
      <c r="D18" s="292"/>
      <c r="E18" s="293" t="e">
        <f>IF(A18:A29="","",IF(L$4="sys/",VLOOKUP(A18:A29,#REF!,7,FALSE)))</f>
        <v>#REF!</v>
      </c>
      <c r="F18" s="294"/>
      <c r="G18" s="53" t="e">
        <f>IF(A18:A29="","",IF(L$4="sys/",VLOOKUP(A18:A29,#REF!,9,FALSE)))</f>
        <v>#REF!</v>
      </c>
      <c r="H18" s="53" t="s">
        <v>105</v>
      </c>
      <c r="I18" s="53" t="e">
        <f>IF(A18:A29="","",IF(L$4="sys/",VLOOKUP(A18:A29,#REF!,8,FALSE)))</f>
        <v>#REF!</v>
      </c>
      <c r="J18" s="53">
        <v>1800</v>
      </c>
      <c r="K18" s="53">
        <f t="shared" ref="K18:K28" si="2">IF(H18="","",IF(H18="carton",(J18*26.5/25),IF(H18="drum",J18*28/25,IF(H18="bale",0))))</f>
        <v>1908</v>
      </c>
      <c r="L18" s="85" t="str">
        <f t="shared" si="0"/>
        <v>124.17</v>
      </c>
      <c r="M18" s="74">
        <f t="shared" si="1"/>
        <v>223506</v>
      </c>
      <c r="N18" s="49"/>
      <c r="O18" s="70">
        <v>125</v>
      </c>
      <c r="P18" s="48"/>
      <c r="Q18" s="73"/>
      <c r="R18" s="63" t="e">
        <f>(O18-P18)/P18+Q18</f>
        <v>#DIV/0!</v>
      </c>
      <c r="S18" s="50" t="e">
        <f>O18*J18*R18</f>
        <v>#DIV/0!</v>
      </c>
      <c r="T18" s="50">
        <f>O18*J18</f>
        <v>225000</v>
      </c>
    </row>
    <row r="19" spans="1:22" s="50" customFormat="1" ht="30" customHeight="1" x14ac:dyDescent="0.3">
      <c r="A19" s="68">
        <v>2321</v>
      </c>
      <c r="B19" s="290" t="e">
        <f>IF(A19:A30="","",IF(L$4="sys/",VLOOKUP(A19:A30,#REF!,4,FALSE)))</f>
        <v>#REF!</v>
      </c>
      <c r="C19" s="291"/>
      <c r="D19" s="292"/>
      <c r="E19" s="293" t="e">
        <f>IF(A19:A30="","",IF(L$4="sys/",VLOOKUP(A19:A30,#REF!,7,FALSE)))</f>
        <v>#REF!</v>
      </c>
      <c r="F19" s="294"/>
      <c r="G19" s="53" t="e">
        <f>IF(A19:A30="","",IF(L$4="sys/",VLOOKUP(A19:A30,#REF!,9,FALSE)))</f>
        <v>#REF!</v>
      </c>
      <c r="H19" s="53" t="s">
        <v>105</v>
      </c>
      <c r="I19" s="53" t="e">
        <f>IF(A19:A30="","",IF(L$4="sys/",VLOOKUP(A19:A30,#REF!,8,FALSE)))</f>
        <v>#REF!</v>
      </c>
      <c r="J19" s="53">
        <v>1000</v>
      </c>
      <c r="K19" s="53">
        <f t="shared" si="2"/>
        <v>1060</v>
      </c>
      <c r="L19" s="85" t="str">
        <f t="shared" si="0"/>
        <v>87.37</v>
      </c>
      <c r="M19" s="74">
        <f t="shared" si="1"/>
        <v>87370</v>
      </c>
      <c r="N19" s="49"/>
      <c r="O19" s="70">
        <v>88.2</v>
      </c>
      <c r="P19" s="48"/>
      <c r="Q19" s="73"/>
      <c r="R19" s="63" t="e">
        <f>(O19-P19)/P19+Q19</f>
        <v>#DIV/0!</v>
      </c>
      <c r="S19" s="50" t="e">
        <f>O19*J19*R19</f>
        <v>#DIV/0!</v>
      </c>
      <c r="T19" s="50">
        <f>O19*J19</f>
        <v>88200</v>
      </c>
      <c r="V19" s="51"/>
    </row>
    <row r="20" spans="1:22" s="50" customFormat="1" ht="30" customHeight="1" x14ac:dyDescent="0.3">
      <c r="A20" s="68">
        <v>2362</v>
      </c>
      <c r="B20" s="290" t="e">
        <f>IF(A20:A31="","",IF(L$4="sys/",VLOOKUP(A20:A31,#REF!,4,FALSE)))</f>
        <v>#REF!</v>
      </c>
      <c r="C20" s="291"/>
      <c r="D20" s="292"/>
      <c r="E20" s="293" t="e">
        <f>IF(A20:A31="","",IF(L$4="sys/",VLOOKUP(A20:A31,#REF!,7,FALSE)))</f>
        <v>#REF!</v>
      </c>
      <c r="F20" s="294"/>
      <c r="G20" s="53" t="e">
        <f>IF(A20:A31="","",IF(L$4="sys/",VLOOKUP(A20:A31,#REF!,9,FALSE)))</f>
        <v>#REF!</v>
      </c>
      <c r="H20" s="53" t="s">
        <v>105</v>
      </c>
      <c r="I20" s="53" t="e">
        <f>IF(A20:A31="","",IF(L$4="sys/",VLOOKUP(A20:A31,#REF!,8,FALSE)))</f>
        <v>#REF!</v>
      </c>
      <c r="J20" s="53">
        <v>800</v>
      </c>
      <c r="K20" s="53">
        <f t="shared" si="2"/>
        <v>848</v>
      </c>
      <c r="L20" s="85" t="str">
        <f t="shared" si="0"/>
        <v>38.67</v>
      </c>
      <c r="M20" s="74">
        <f t="shared" si="1"/>
        <v>30936</v>
      </c>
      <c r="N20" s="49"/>
      <c r="O20" s="70">
        <v>39.5</v>
      </c>
      <c r="P20" s="48"/>
      <c r="Q20" s="73"/>
      <c r="R20" s="63" t="e">
        <f>(O20-P20)/P20+Q20</f>
        <v>#DIV/0!</v>
      </c>
      <c r="S20" s="50" t="e">
        <f>O20*J20*R20</f>
        <v>#DIV/0!</v>
      </c>
      <c r="T20" s="50">
        <f>O20*J20</f>
        <v>31600</v>
      </c>
    </row>
    <row r="21" spans="1:22" s="50" customFormat="1" ht="30" customHeight="1" x14ac:dyDescent="0.3">
      <c r="A21" s="68">
        <v>2021</v>
      </c>
      <c r="B21" s="290" t="e">
        <f>IF(A21:A32="","",IF(L$4="sys/",VLOOKUP(A21:A32,#REF!,4,FALSE)))</f>
        <v>#REF!</v>
      </c>
      <c r="C21" s="291"/>
      <c r="D21" s="292"/>
      <c r="E21" s="293" t="e">
        <f>IF(A21:A32="","",IF(L$4="sys/",VLOOKUP(A21:A32,#REF!,7,FALSE)))</f>
        <v>#REF!</v>
      </c>
      <c r="F21" s="294"/>
      <c r="G21" s="53" t="e">
        <f>IF(A21:A32="","",IF(L$4="sys/",VLOOKUP(A21:A32,#REF!,9,FALSE)))</f>
        <v>#REF!</v>
      </c>
      <c r="H21" s="53" t="s">
        <v>105</v>
      </c>
      <c r="I21" s="53" t="e">
        <f>IF(A21:A32="","",IF(L$4="sys/",VLOOKUP(A21:A32,#REF!,8,FALSE)))</f>
        <v>#REF!</v>
      </c>
      <c r="J21" s="53">
        <v>600</v>
      </c>
      <c r="K21" s="53">
        <f t="shared" si="2"/>
        <v>636</v>
      </c>
      <c r="L21" s="85" t="str">
        <f t="shared" si="0"/>
        <v>35.17</v>
      </c>
      <c r="M21" s="74">
        <f t="shared" si="1"/>
        <v>21102</v>
      </c>
      <c r="N21" s="49"/>
      <c r="O21" s="70">
        <v>36</v>
      </c>
      <c r="P21" s="48"/>
      <c r="Q21" s="73"/>
      <c r="R21" s="63" t="e">
        <f>(#REF!-P21)/P21+Q21</f>
        <v>#REF!</v>
      </c>
      <c r="S21" s="50" t="e">
        <f>#REF!*#REF!*R21</f>
        <v>#REF!</v>
      </c>
      <c r="T21" s="50" t="e">
        <f>#REF!*#REF!</f>
        <v>#REF!</v>
      </c>
      <c r="V21" s="51"/>
    </row>
    <row r="22" spans="1:22" s="50" customFormat="1" ht="30" customHeight="1" x14ac:dyDescent="0.3">
      <c r="A22" s="68">
        <v>7000</v>
      </c>
      <c r="B22" s="290" t="e">
        <f>IF(A22:A33="","",IF(L$4="sys/",VLOOKUP(A22:A33,#REF!,4,FALSE)))</f>
        <v>#REF!</v>
      </c>
      <c r="C22" s="291"/>
      <c r="D22" s="292"/>
      <c r="E22" s="293" t="e">
        <f>IF(A22:A33="","",IF(L$4="sys/",VLOOKUP(A22:A33,#REF!,7,FALSE)))</f>
        <v>#REF!</v>
      </c>
      <c r="F22" s="294"/>
      <c r="G22" s="53" t="e">
        <f>IF(A22:A33="","",IF(L$4="sys/",VLOOKUP(A22:A33,#REF!,9,FALSE)))</f>
        <v>#REF!</v>
      </c>
      <c r="H22" s="53" t="s">
        <v>105</v>
      </c>
      <c r="I22" s="53" t="e">
        <f>IF(A22:A33="","",IF(L$4="sys/",VLOOKUP(A22:A33,#REF!,8,FALSE)))</f>
        <v>#REF!</v>
      </c>
      <c r="J22" s="53">
        <v>4500</v>
      </c>
      <c r="K22" s="53">
        <f t="shared" si="2"/>
        <v>4770</v>
      </c>
      <c r="L22" s="85" t="str">
        <f t="shared" si="0"/>
        <v>29.17</v>
      </c>
      <c r="M22" s="74">
        <f t="shared" si="1"/>
        <v>131265</v>
      </c>
      <c r="N22" s="49"/>
      <c r="O22" s="50">
        <v>30</v>
      </c>
      <c r="P22" s="48"/>
      <c r="Q22" s="73"/>
      <c r="R22" s="63" t="e">
        <f t="shared" ref="R22:R27" si="3">(O21-P22)/P22+Q22</f>
        <v>#DIV/0!</v>
      </c>
      <c r="S22" s="50" t="e">
        <f>O21*J21*R22</f>
        <v>#DIV/0!</v>
      </c>
      <c r="T22" s="50">
        <f>O21*J21</f>
        <v>21600</v>
      </c>
      <c r="V22" s="51">
        <f>M38*5.5%</f>
        <v>29272.924999999999</v>
      </c>
    </row>
    <row r="23" spans="1:22" s="50" customFormat="1" ht="30" customHeight="1" x14ac:dyDescent="0.3">
      <c r="A23" s="68"/>
      <c r="B23" s="290" t="str">
        <f>IF(A23:A34="","",IF(L$4="sys/",VLOOKUP(A23:A34,#REF!,4,FALSE)))</f>
        <v/>
      </c>
      <c r="C23" s="291"/>
      <c r="D23" s="292"/>
      <c r="E23" s="293" t="str">
        <f>IF(A23:A34="","",IF(L$4="sys/",VLOOKUP(A23:A34,#REF!,7,FALSE)))</f>
        <v/>
      </c>
      <c r="F23" s="294"/>
      <c r="G23" s="53" t="str">
        <f>IF(A23:A34="","",IF(L$4="sys/",VLOOKUP(A23:A34,#REF!,9,FALSE)))</f>
        <v/>
      </c>
      <c r="H23" s="53"/>
      <c r="I23" s="53" t="str">
        <f>IF(A23:A34="","",IF(L$4="sys/",VLOOKUP(A23:A34,#REF!,8,FALSE)))</f>
        <v/>
      </c>
      <c r="J23" s="53"/>
      <c r="K23" s="53" t="str">
        <f t="shared" si="2"/>
        <v/>
      </c>
      <c r="L23" s="85"/>
      <c r="M23" s="74"/>
      <c r="N23" s="49"/>
      <c r="Q23" s="73"/>
      <c r="R23" s="63" t="e">
        <f t="shared" si="3"/>
        <v>#DIV/0!</v>
      </c>
      <c r="S23" s="50" t="e">
        <f>O22*J22*R23</f>
        <v>#DIV/0!</v>
      </c>
      <c r="T23" s="50">
        <f>O22*J22</f>
        <v>135000</v>
      </c>
      <c r="V23" s="51" t="e">
        <f>S29-V22</f>
        <v>#DIV/0!</v>
      </c>
    </row>
    <row r="24" spans="1:22" s="50" customFormat="1" ht="30" customHeight="1" x14ac:dyDescent="0.3">
      <c r="A24" s="68"/>
      <c r="B24" s="290" t="str">
        <f>IF(A24:A35="","",IF(L$4="sys/",VLOOKUP(A24:A35,#REF!,4,FALSE)))</f>
        <v/>
      </c>
      <c r="C24" s="291"/>
      <c r="D24" s="292"/>
      <c r="E24" s="293" t="str">
        <f>IF(A24:A35="","",IF(L$4="sys/",VLOOKUP(A24:A35,#REF!,7,FALSE)))</f>
        <v/>
      </c>
      <c r="F24" s="294"/>
      <c r="G24" s="53" t="str">
        <f>IF(A24:A35="","",IF(L$4="sys/",VLOOKUP(A24:A35,#REF!,9,FALSE)))</f>
        <v/>
      </c>
      <c r="H24" s="53"/>
      <c r="I24" s="53" t="str">
        <f>IF(A24:A35="","",IF(L$4="sys/",VLOOKUP(A24:A35,#REF!,8,FALSE)))</f>
        <v/>
      </c>
      <c r="J24" s="53"/>
      <c r="K24" s="53" t="str">
        <f t="shared" si="2"/>
        <v/>
      </c>
      <c r="L24" s="85"/>
      <c r="M24" s="74"/>
      <c r="N24" s="49"/>
      <c r="Q24" s="73"/>
      <c r="R24" s="63" t="e">
        <f t="shared" si="3"/>
        <v>#DIV/0!</v>
      </c>
      <c r="S24" s="50" t="e">
        <f>O23*J23*R24</f>
        <v>#DIV/0!</v>
      </c>
      <c r="T24" s="50">
        <f>O23*J23</f>
        <v>0</v>
      </c>
      <c r="V24" s="51"/>
    </row>
    <row r="25" spans="1:22" s="50" customFormat="1" ht="30" customHeight="1" x14ac:dyDescent="0.3">
      <c r="A25" s="68"/>
      <c r="B25" s="290" t="str">
        <f>IF(A25:A36="","",IF(L$4="sys/",VLOOKUP(A25:A36,#REF!,4,FALSE)))</f>
        <v/>
      </c>
      <c r="C25" s="291"/>
      <c r="D25" s="292"/>
      <c r="E25" s="293" t="str">
        <f>IF(A25:A36="","",IF(L$4="sys/",VLOOKUP(A25:A36,#REF!,7,FALSE)))</f>
        <v/>
      </c>
      <c r="F25" s="294"/>
      <c r="G25" s="53" t="str">
        <f>IF(A25:A36="","",IF(L$4="sys/",VLOOKUP(A25:A36,#REF!,9,FALSE)))</f>
        <v/>
      </c>
      <c r="H25" s="53"/>
      <c r="I25" s="53" t="str">
        <f>IF(A25:A36="","",IF(L$4="sys/",VLOOKUP(A25:A36,#REF!,8,FALSE)))</f>
        <v/>
      </c>
      <c r="J25" s="53"/>
      <c r="K25" s="53" t="str">
        <f t="shared" si="2"/>
        <v/>
      </c>
      <c r="L25" s="85"/>
      <c r="M25" s="74"/>
      <c r="N25" s="49"/>
      <c r="Q25" s="73"/>
      <c r="R25" s="63" t="e">
        <f t="shared" si="3"/>
        <v>#DIV/0!</v>
      </c>
      <c r="S25" s="50" t="e">
        <f>O24*J24*R25</f>
        <v>#DIV/0!</v>
      </c>
      <c r="T25" s="50">
        <f>O24*J24</f>
        <v>0</v>
      </c>
      <c r="V25" s="51"/>
    </row>
    <row r="26" spans="1:22" s="50" customFormat="1" ht="30" customHeight="1" x14ac:dyDescent="0.3">
      <c r="A26" s="68"/>
      <c r="B26" s="290" t="str">
        <f>IF(A26:A37="","",IF(L$4="sys/",VLOOKUP(A26:A37,#REF!,4,FALSE)))</f>
        <v/>
      </c>
      <c r="C26" s="291"/>
      <c r="D26" s="292"/>
      <c r="E26" s="293" t="str">
        <f>IF(A26:A37="","",IF(L$4="sys/",VLOOKUP(A26:A37,#REF!,7,FALSE)))</f>
        <v/>
      </c>
      <c r="F26" s="294"/>
      <c r="G26" s="53" t="str">
        <f>IF(A26:A37="","",IF(L$4="sys/",VLOOKUP(A26:A37,#REF!,9,FALSE)))</f>
        <v/>
      </c>
      <c r="H26" s="53"/>
      <c r="I26" s="53" t="str">
        <f>IF(A26:A37="","",IF(L$4="sys/",VLOOKUP(A26:A37,#REF!,8,FALSE)))</f>
        <v/>
      </c>
      <c r="J26" s="53"/>
      <c r="K26" s="53" t="str">
        <f t="shared" si="2"/>
        <v/>
      </c>
      <c r="L26" s="85"/>
      <c r="M26" s="74"/>
      <c r="N26" s="49"/>
      <c r="Q26" s="73"/>
      <c r="R26" s="63" t="e">
        <f t="shared" si="3"/>
        <v>#DIV/0!</v>
      </c>
      <c r="S26" s="50" t="e">
        <f>O25*J25*R26</f>
        <v>#DIV/0!</v>
      </c>
      <c r="V26" s="51"/>
    </row>
    <row r="27" spans="1:22" s="50" customFormat="1" ht="30" customHeight="1" x14ac:dyDescent="0.3">
      <c r="A27" s="68"/>
      <c r="B27" s="290" t="str">
        <f>IF(A27:A38="","",IF(L$4="sys/",VLOOKUP(A27:A38,#REF!,4,FALSE)))</f>
        <v/>
      </c>
      <c r="C27" s="291"/>
      <c r="D27" s="292"/>
      <c r="E27" s="293" t="str">
        <f>IF(A27:A38="","",IF(L$4="sys/",VLOOKUP(A27:A38,#REF!,7,FALSE)))</f>
        <v/>
      </c>
      <c r="F27" s="294"/>
      <c r="G27" s="53" t="str">
        <f>IF(A27:A38="","",IF(L$4="sys/",VLOOKUP(A27:A38,#REF!,9,FALSE)))</f>
        <v/>
      </c>
      <c r="H27" s="53"/>
      <c r="I27" s="53" t="str">
        <f>IF(A27:A38="","",IF(L$4="sys/",VLOOKUP(A27:A38,#REF!,8,FALSE)))</f>
        <v/>
      </c>
      <c r="J27" s="53"/>
      <c r="K27" s="53" t="str">
        <f t="shared" si="2"/>
        <v/>
      </c>
      <c r="L27" s="85"/>
      <c r="M27" s="74"/>
      <c r="N27" s="49"/>
      <c r="Q27" s="73"/>
      <c r="R27" s="63" t="e">
        <f t="shared" si="3"/>
        <v>#DIV/0!</v>
      </c>
      <c r="S27" s="50" t="e">
        <f>O26*J27*R27</f>
        <v>#DIV/0!</v>
      </c>
      <c r="V27" s="51"/>
    </row>
    <row r="28" spans="1:22" s="50" customFormat="1" ht="30" customHeight="1" x14ac:dyDescent="0.3">
      <c r="A28" s="68"/>
      <c r="B28" s="290" t="str">
        <f>IF(A28:A39="","",IF(L$4="sys/",VLOOKUP(A28:A39,#REF!,4,FALSE)))</f>
        <v/>
      </c>
      <c r="C28" s="291"/>
      <c r="D28" s="292"/>
      <c r="E28" s="293" t="str">
        <f>IF(A28:A39="","",IF(L$4="sys/",VLOOKUP(A28:A39,#REF!,7,FALSE)))</f>
        <v/>
      </c>
      <c r="F28" s="294"/>
      <c r="G28" s="53" t="str">
        <f>IF(A28:A39="","",IF(L$4="sys/",VLOOKUP(A28:A39,#REF!,9,FALSE)))</f>
        <v/>
      </c>
      <c r="H28" s="53"/>
      <c r="I28" s="53" t="str">
        <f>IF(A28:A39="","",IF(L$4="sys/",VLOOKUP(A28:A39,#REF!,8,FALSE)))</f>
        <v/>
      </c>
      <c r="J28" s="53"/>
      <c r="K28" s="53" t="str">
        <f t="shared" si="2"/>
        <v/>
      </c>
      <c r="L28" s="85"/>
      <c r="M28" s="74"/>
      <c r="N28" s="49"/>
      <c r="O28" s="76" t="s">
        <v>79</v>
      </c>
      <c r="R28" s="63"/>
      <c r="V28" s="51"/>
    </row>
    <row r="29" spans="1:22" ht="16.5" x14ac:dyDescent="0.3">
      <c r="A29" s="14" t="s">
        <v>5</v>
      </c>
      <c r="B29" s="7"/>
      <c r="C29" s="7"/>
      <c r="D29" s="7"/>
      <c r="E29" s="7"/>
      <c r="F29" s="7"/>
      <c r="G29" s="7"/>
      <c r="H29" s="7"/>
      <c r="I29" s="7"/>
      <c r="J29" s="25">
        <f>SUM(J17:J28)</f>
        <v>9500</v>
      </c>
      <c r="K29" s="25">
        <f>SUM(K17:K28)</f>
        <v>10070</v>
      </c>
      <c r="L29" s="25"/>
      <c r="M29" s="58">
        <f>SUM(M17:M28)</f>
        <v>524315</v>
      </c>
      <c r="P29" s="76"/>
      <c r="Q29" s="76"/>
      <c r="R29" s="76"/>
      <c r="S29" t="e">
        <f>SUM(S17:S28)</f>
        <v>#DIV/0!</v>
      </c>
      <c r="V29" s="47" t="e">
        <f>S29/M38</f>
        <v>#DIV/0!</v>
      </c>
    </row>
    <row r="30" spans="1:22" ht="21" x14ac:dyDescent="0.3">
      <c r="A30" s="286" t="s">
        <v>37</v>
      </c>
      <c r="B30" s="287"/>
      <c r="C30" s="271" t="s">
        <v>40</v>
      </c>
      <c r="D30" s="271"/>
      <c r="E30" s="6"/>
      <c r="F30" s="6"/>
      <c r="G30" s="6"/>
      <c r="H30" s="6"/>
      <c r="I30" s="6"/>
      <c r="J30" s="6"/>
      <c r="K30" s="295" t="s">
        <v>21</v>
      </c>
      <c r="L30" s="296"/>
      <c r="M30" s="57">
        <f>M29</f>
        <v>524315</v>
      </c>
      <c r="R30" s="46"/>
      <c r="V30" s="47"/>
    </row>
    <row r="31" spans="1:22" ht="18.75" x14ac:dyDescent="0.3">
      <c r="A31" s="286" t="s">
        <v>38</v>
      </c>
      <c r="B31" s="287"/>
      <c r="C31" s="271" t="s">
        <v>48</v>
      </c>
      <c r="D31" s="271"/>
      <c r="E31" s="6"/>
      <c r="F31" s="6"/>
      <c r="G31" s="6"/>
      <c r="H31" s="6"/>
      <c r="I31" s="6"/>
      <c r="J31" s="6"/>
      <c r="K31" s="288" t="s">
        <v>22</v>
      </c>
      <c r="L31" s="289"/>
      <c r="M31" s="56">
        <f>(R14*W13+S14*W14)*T14</f>
        <v>7920</v>
      </c>
      <c r="R31" s="47"/>
      <c r="V31" s="47"/>
    </row>
    <row r="32" spans="1:22" ht="16.5" customHeight="1" x14ac:dyDescent="0.3">
      <c r="A32" s="12" t="s">
        <v>46</v>
      </c>
      <c r="B32" s="6"/>
      <c r="C32" s="44" t="s">
        <v>28</v>
      </c>
      <c r="D32" s="6"/>
      <c r="E32" s="6"/>
      <c r="F32" s="6"/>
      <c r="G32" s="6"/>
      <c r="H32" s="6"/>
      <c r="I32" s="6"/>
      <c r="J32" s="6"/>
      <c r="K32" s="276" t="s">
        <v>26</v>
      </c>
      <c r="L32" s="277"/>
      <c r="M32" s="55">
        <v>0</v>
      </c>
      <c r="S32" s="69" t="s">
        <v>82</v>
      </c>
    </row>
    <row r="33" spans="1:19" ht="16.5" customHeight="1" x14ac:dyDescent="0.3">
      <c r="A33" s="15" t="str">
        <f>IF(B1=V1,X3,Y3)</f>
        <v>PAYEE:SINOCHEM TIANJIN CO., LTD</v>
      </c>
      <c r="B33" s="6"/>
      <c r="C33" s="6"/>
      <c r="D33" s="6"/>
      <c r="E33" s="6"/>
      <c r="F33" s="6"/>
      <c r="G33" s="6"/>
      <c r="H33" s="6"/>
      <c r="I33" s="6"/>
      <c r="J33" s="6"/>
      <c r="K33" s="276" t="s">
        <v>27</v>
      </c>
      <c r="L33" s="277"/>
      <c r="M33" s="55">
        <v>0</v>
      </c>
    </row>
    <row r="34" spans="1:19" ht="16.5" customHeight="1" x14ac:dyDescent="0.3">
      <c r="A34" s="16" t="s">
        <v>13</v>
      </c>
      <c r="B34" s="6"/>
      <c r="C34" s="6"/>
      <c r="D34" s="6"/>
      <c r="E34" s="6"/>
      <c r="F34" s="6"/>
      <c r="G34" s="6"/>
      <c r="H34" s="6"/>
      <c r="I34" s="6"/>
      <c r="J34" s="6"/>
      <c r="K34" s="6"/>
      <c r="L34" s="6"/>
      <c r="M34" s="55">
        <v>0</v>
      </c>
    </row>
    <row r="35" spans="1:19" ht="16.5" customHeight="1" x14ac:dyDescent="0.3">
      <c r="A35" s="16" t="s">
        <v>14</v>
      </c>
      <c r="B35" s="6"/>
      <c r="C35" s="6"/>
      <c r="D35" s="6"/>
      <c r="E35" s="6"/>
      <c r="F35" s="6"/>
      <c r="G35" s="6"/>
      <c r="H35" s="6"/>
      <c r="I35" s="6"/>
      <c r="J35" s="6"/>
      <c r="K35" s="6"/>
      <c r="L35" s="6"/>
      <c r="M35" s="55">
        <v>0</v>
      </c>
    </row>
    <row r="36" spans="1:19" ht="16.5" customHeight="1" x14ac:dyDescent="0.3">
      <c r="A36" s="16" t="s">
        <v>15</v>
      </c>
      <c r="B36" s="6"/>
      <c r="C36" s="6"/>
      <c r="D36" s="6"/>
      <c r="E36" s="6"/>
      <c r="F36" s="6"/>
      <c r="G36" s="6"/>
      <c r="H36" s="6"/>
      <c r="I36" s="6"/>
      <c r="J36" s="6"/>
      <c r="K36" s="6"/>
      <c r="L36" s="6"/>
      <c r="M36" s="55">
        <v>0</v>
      </c>
    </row>
    <row r="37" spans="1:19" ht="16.5" customHeight="1" x14ac:dyDescent="0.3">
      <c r="A37" s="16" t="s">
        <v>16</v>
      </c>
      <c r="B37" s="6"/>
      <c r="C37" s="6"/>
      <c r="D37" s="6"/>
      <c r="E37" s="6"/>
      <c r="F37" s="6"/>
      <c r="G37" s="6"/>
      <c r="H37" s="6"/>
      <c r="I37" s="6"/>
      <c r="J37" s="6"/>
      <c r="K37" s="6"/>
      <c r="L37" s="6"/>
      <c r="M37" s="55">
        <v>0</v>
      </c>
      <c r="O37" s="72">
        <v>426655.25</v>
      </c>
    </row>
    <row r="38" spans="1:19" ht="21.75" thickBot="1" x14ac:dyDescent="0.4">
      <c r="A38" s="16" t="str">
        <f>IF(B1=V1,X2,Y2)</f>
        <v>ACCOUNT NUMBER:10002000096220000016</v>
      </c>
      <c r="B38" s="1"/>
      <c r="C38" s="1"/>
      <c r="D38" s="1"/>
      <c r="E38" s="1"/>
      <c r="F38" s="1"/>
      <c r="G38" s="1"/>
      <c r="H38" s="1"/>
      <c r="I38" s="1"/>
      <c r="J38" s="1"/>
      <c r="K38" s="278" t="s">
        <v>25</v>
      </c>
      <c r="L38" s="279"/>
      <c r="M38" s="54">
        <f>SUM(M30+M31)</f>
        <v>532235</v>
      </c>
    </row>
    <row r="39" spans="1:19" ht="18.75" thickBot="1" x14ac:dyDescent="0.35">
      <c r="A39" s="280" t="s">
        <v>83</v>
      </c>
      <c r="B39" s="281"/>
      <c r="C39" s="282" t="e">
        <f ca="1">SpellNumber(M38)</f>
        <v>#NAME?</v>
      </c>
      <c r="D39" s="282"/>
      <c r="E39" s="282"/>
      <c r="F39" s="282"/>
      <c r="G39" s="282"/>
      <c r="H39" s="282"/>
      <c r="I39" s="282"/>
      <c r="J39" s="283"/>
      <c r="K39" s="1"/>
      <c r="L39" s="1"/>
      <c r="M39" s="45" t="s">
        <v>51</v>
      </c>
    </row>
    <row r="40" spans="1:19" x14ac:dyDescent="0.3">
      <c r="A40" s="284"/>
      <c r="B40" s="285"/>
      <c r="C40" s="285"/>
      <c r="D40" s="285"/>
      <c r="E40" s="285"/>
      <c r="F40" s="285"/>
      <c r="G40" s="285"/>
      <c r="H40" s="285"/>
      <c r="I40" s="285"/>
      <c r="J40" s="285"/>
      <c r="K40" s="1"/>
      <c r="L40" s="1"/>
      <c r="M40" s="17"/>
    </row>
    <row r="41" spans="1:19" ht="16.5" x14ac:dyDescent="0.3">
      <c r="A41" s="18" t="s">
        <v>8</v>
      </c>
      <c r="B41" s="5"/>
      <c r="C41" s="5"/>
      <c r="D41" s="5"/>
      <c r="E41" s="5"/>
      <c r="F41" s="5"/>
      <c r="G41" s="5"/>
      <c r="H41" s="5"/>
      <c r="I41" s="5"/>
      <c r="J41" s="5"/>
      <c r="K41" s="5"/>
      <c r="L41" s="5"/>
      <c r="M41" s="19"/>
    </row>
    <row r="42" spans="1:19" x14ac:dyDescent="0.3">
      <c r="A42" s="28" t="s">
        <v>4</v>
      </c>
      <c r="B42" s="27"/>
      <c r="C42" s="27" t="s">
        <v>28</v>
      </c>
      <c r="D42" s="27"/>
      <c r="E42" s="27"/>
      <c r="F42" s="27"/>
      <c r="G42" s="1"/>
      <c r="H42" s="1"/>
      <c r="I42" s="1"/>
      <c r="J42" s="1"/>
      <c r="K42" s="1"/>
      <c r="L42" s="1"/>
      <c r="M42" s="17"/>
    </row>
    <row r="43" spans="1:19" x14ac:dyDescent="0.3">
      <c r="A43" s="28" t="s">
        <v>2</v>
      </c>
      <c r="B43" s="27"/>
      <c r="C43" s="27" t="s">
        <v>28</v>
      </c>
      <c r="D43" s="27"/>
      <c r="E43" s="27"/>
      <c r="F43" s="27"/>
      <c r="G43" s="1"/>
      <c r="H43" s="1"/>
      <c r="I43" s="1"/>
      <c r="J43" s="1"/>
      <c r="K43" s="1"/>
      <c r="L43" s="1"/>
      <c r="M43" s="17"/>
      <c r="S43" t="e">
        <f ca="1">SpellNumber(M38)</f>
        <v>#NAME?</v>
      </c>
    </row>
    <row r="44" spans="1:19" x14ac:dyDescent="0.3">
      <c r="A44" s="28" t="s">
        <v>3</v>
      </c>
      <c r="B44" s="27"/>
      <c r="C44" s="27" t="s">
        <v>29</v>
      </c>
      <c r="D44" s="27"/>
      <c r="E44" s="27"/>
      <c r="F44" s="27"/>
      <c r="G44" s="1"/>
      <c r="H44" s="1"/>
      <c r="I44" s="1"/>
      <c r="J44" s="1"/>
      <c r="K44" s="1"/>
      <c r="L44" s="1"/>
      <c r="M44" s="17"/>
    </row>
    <row r="45" spans="1:19" x14ac:dyDescent="0.3">
      <c r="A45" s="28"/>
      <c r="B45" s="27"/>
      <c r="C45" s="27"/>
      <c r="D45" s="27"/>
      <c r="E45" s="27"/>
      <c r="F45" s="27"/>
      <c r="G45" s="1"/>
      <c r="H45" s="1"/>
      <c r="I45" s="1"/>
      <c r="J45" s="1"/>
      <c r="K45" s="1"/>
      <c r="L45" s="1"/>
      <c r="M45" s="17"/>
      <c r="R45" t="e">
        <f ca="1">SpellNumber(M38)</f>
        <v>#NAME?</v>
      </c>
    </row>
    <row r="46" spans="1:19" x14ac:dyDescent="0.3">
      <c r="A46" s="29" t="s">
        <v>6</v>
      </c>
      <c r="B46" s="26"/>
      <c r="C46" s="271" t="s">
        <v>24</v>
      </c>
      <c r="D46" s="271"/>
      <c r="E46" s="271"/>
      <c r="F46" s="271"/>
      <c r="G46" s="2"/>
      <c r="H46" s="2"/>
      <c r="I46" s="2"/>
      <c r="J46" s="2"/>
      <c r="K46" s="2"/>
      <c r="L46" s="2"/>
      <c r="M46" s="17"/>
      <c r="R46" t="e">
        <f ca="1">SpellNumber(M38)</f>
        <v>#NAME?</v>
      </c>
    </row>
    <row r="47" spans="1:19" x14ac:dyDescent="0.3">
      <c r="A47" s="20"/>
      <c r="B47" s="2"/>
      <c r="C47" s="2"/>
      <c r="D47" s="2"/>
      <c r="E47" s="2"/>
      <c r="F47" s="2"/>
      <c r="G47" s="2"/>
      <c r="H47" s="2"/>
      <c r="I47" s="2"/>
      <c r="J47" s="2"/>
      <c r="K47" s="2"/>
      <c r="L47" s="2"/>
      <c r="M47" s="17"/>
      <c r="R47" t="e">
        <f ca="1">SpellNumber(M38)</f>
        <v>#NAME?</v>
      </c>
    </row>
    <row r="48" spans="1:19" ht="15" customHeight="1" x14ac:dyDescent="0.3">
      <c r="A48" s="272" t="s">
        <v>30</v>
      </c>
      <c r="B48" s="273"/>
      <c r="C48" s="273"/>
      <c r="D48" s="273"/>
      <c r="E48" s="273"/>
      <c r="F48" s="273"/>
      <c r="G48" s="273"/>
      <c r="H48" s="78"/>
      <c r="I48" s="2"/>
      <c r="J48" s="2"/>
      <c r="K48" s="2"/>
      <c r="L48" s="2"/>
      <c r="M48" s="17"/>
    </row>
    <row r="49" spans="1:13" x14ac:dyDescent="0.3">
      <c r="A49" s="272"/>
      <c r="B49" s="273"/>
      <c r="C49" s="273"/>
      <c r="D49" s="273"/>
      <c r="E49" s="273"/>
      <c r="F49" s="273"/>
      <c r="G49" s="273"/>
      <c r="H49" s="78"/>
      <c r="I49" s="2"/>
      <c r="J49" s="2"/>
      <c r="K49" s="2"/>
      <c r="L49" s="2"/>
      <c r="M49" s="17"/>
    </row>
    <row r="50" spans="1:13" x14ac:dyDescent="0.3">
      <c r="A50" s="272"/>
      <c r="B50" s="273"/>
      <c r="C50" s="273"/>
      <c r="D50" s="273"/>
      <c r="E50" s="273"/>
      <c r="F50" s="273"/>
      <c r="G50" s="273"/>
      <c r="H50" s="78"/>
      <c r="I50" s="2"/>
      <c r="J50" s="2"/>
      <c r="K50" s="2"/>
      <c r="L50" s="2"/>
      <c r="M50" s="17"/>
    </row>
    <row r="51" spans="1:13" x14ac:dyDescent="0.3">
      <c r="A51" s="21" t="s">
        <v>92</v>
      </c>
      <c r="B51" s="4"/>
      <c r="C51" s="2"/>
      <c r="D51" s="2"/>
      <c r="E51" s="2"/>
      <c r="F51" s="2"/>
      <c r="G51" s="2"/>
      <c r="H51" s="2"/>
      <c r="I51" s="2"/>
      <c r="J51" s="2"/>
      <c r="K51" s="2"/>
      <c r="L51" s="2"/>
      <c r="M51" s="17"/>
    </row>
    <row r="52" spans="1:13" ht="15.75" thickBot="1" x14ac:dyDescent="0.35">
      <c r="A52" s="274" t="str">
        <f>IF(B1=V1,X1,Y1)</f>
        <v>SINOCHEM TIANJIN CO., LTD</v>
      </c>
      <c r="B52" s="275">
        <f>IF(C51=W51,Y51,Z51)</f>
        <v>0</v>
      </c>
      <c r="C52" s="275">
        <f>IF(D51=X51,Z51,AA51)</f>
        <v>0</v>
      </c>
      <c r="D52" s="275">
        <f>IF(E51=Y51,AA51,AB51)</f>
        <v>0</v>
      </c>
      <c r="E52" s="24"/>
      <c r="F52" s="22"/>
      <c r="G52" s="22"/>
      <c r="H52" s="22"/>
      <c r="I52" s="22"/>
      <c r="J52" s="22"/>
      <c r="K52" s="22"/>
      <c r="L52" s="22"/>
      <c r="M52" s="23"/>
    </row>
  </sheetData>
  <mergeCells count="53">
    <mergeCell ref="K10:L10"/>
    <mergeCell ref="K11:L11"/>
    <mergeCell ref="K12:L12"/>
    <mergeCell ref="K13:L13"/>
    <mergeCell ref="B1:F1"/>
    <mergeCell ref="L2:M2"/>
    <mergeCell ref="L3:M3"/>
    <mergeCell ref="J5:K5"/>
    <mergeCell ref="L5:M5"/>
    <mergeCell ref="O13:P14"/>
    <mergeCell ref="K14:L14"/>
    <mergeCell ref="B16:D16"/>
    <mergeCell ref="E16:F16"/>
    <mergeCell ref="B17:D17"/>
    <mergeCell ref="E17:F17"/>
    <mergeCell ref="K15:L15"/>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A31:B31"/>
    <mergeCell ref="C31:D31"/>
    <mergeCell ref="K31:L31"/>
    <mergeCell ref="B25:D25"/>
    <mergeCell ref="E25:F25"/>
    <mergeCell ref="B26:D26"/>
    <mergeCell ref="E26:F26"/>
    <mergeCell ref="B27:D27"/>
    <mergeCell ref="E27:F27"/>
    <mergeCell ref="B28:D28"/>
    <mergeCell ref="E28:F28"/>
    <mergeCell ref="A30:B30"/>
    <mergeCell ref="C30:D30"/>
    <mergeCell ref="K30:L30"/>
    <mergeCell ref="C46:F46"/>
    <mergeCell ref="A48:G50"/>
    <mergeCell ref="A52:D52"/>
    <mergeCell ref="K32:L32"/>
    <mergeCell ref="K33:L33"/>
    <mergeCell ref="K38:L38"/>
    <mergeCell ref="A39:B39"/>
    <mergeCell ref="C39:J39"/>
    <mergeCell ref="A40:J40"/>
  </mergeCells>
  <dataValidations count="2">
    <dataValidation type="list" allowBlank="1" showInputMessage="1" showErrorMessage="1" sqref="H17:H28" xr:uid="{00000000-0002-0000-0F00-000000000000}">
      <formula1>$P$5:$P$7</formula1>
    </dataValidation>
    <dataValidation type="list" allowBlank="1" showInputMessage="1" showErrorMessage="1" sqref="B1:F1" xr:uid="{00000000-0002-0000-0F00-000001000000}">
      <formula1>$V$1:$W$1</formula1>
    </dataValidation>
  </dataValidations>
  <printOptions horizontalCentered="1"/>
  <pageMargins left="0.51181102362204722" right="0.51181102362204722" top="0.51181102362204722" bottom="0.51181102362204722" header="0.51181102362204722" footer="0.23622047244094491"/>
  <pageSetup scale="65" fitToHeight="0"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4">
    <pageSetUpPr fitToPage="1"/>
  </sheetPr>
  <dimension ref="A1:Y52"/>
  <sheetViews>
    <sheetView showGridLines="0" zoomScale="85" zoomScaleNormal="85" workbookViewId="0">
      <selection activeCell="T485" sqref="T485"/>
    </sheetView>
  </sheetViews>
  <sheetFormatPr defaultRowHeight="15" x14ac:dyDescent="0.3"/>
  <cols>
    <col min="1" max="3" width="11.42578125" customWidth="1"/>
    <col min="4" max="4" width="13.5703125" customWidth="1"/>
    <col min="5" max="5" width="11.42578125" customWidth="1"/>
    <col min="6" max="6" width="17" customWidth="1"/>
    <col min="7" max="7" width="8.140625" bestFit="1" customWidth="1"/>
    <col min="8" max="8" width="8.140625" customWidth="1"/>
    <col min="9" max="12" width="11.42578125" customWidth="1"/>
    <col min="13" max="13" width="16.85546875" customWidth="1"/>
    <col min="14" max="14" width="10.85546875" bestFit="1" customWidth="1"/>
    <col min="15" max="15" width="9.85546875" bestFit="1" customWidth="1"/>
    <col min="18" max="18" width="11.85546875" bestFit="1" customWidth="1"/>
    <col min="22" max="22" width="13.7109375" bestFit="1" customWidth="1"/>
  </cols>
  <sheetData>
    <row r="1" spans="1:25" ht="78" customHeight="1" x14ac:dyDescent="0.45">
      <c r="A1" s="8"/>
      <c r="B1" s="306" t="s">
        <v>108</v>
      </c>
      <c r="C1" s="306"/>
      <c r="D1" s="306"/>
      <c r="E1" s="306"/>
      <c r="F1" s="306"/>
      <c r="G1" s="84"/>
      <c r="H1" s="84"/>
      <c r="I1" s="84"/>
      <c r="J1" s="84"/>
      <c r="K1" s="84"/>
      <c r="L1" s="84"/>
      <c r="M1" s="30" t="s">
        <v>7</v>
      </c>
      <c r="V1" s="87" t="s">
        <v>74</v>
      </c>
      <c r="W1" s="88" t="s">
        <v>108</v>
      </c>
      <c r="X1" s="38" t="s">
        <v>69</v>
      </c>
      <c r="Y1" s="38" t="s">
        <v>109</v>
      </c>
    </row>
    <row r="2" spans="1:25" ht="16.5" x14ac:dyDescent="0.3">
      <c r="A2" s="38" t="str">
        <f>IF(B1=V1,X1,Y1)</f>
        <v>SINOCHEM TIANJIN CO., LTD</v>
      </c>
      <c r="B2" s="39"/>
      <c r="C2" s="39"/>
      <c r="D2" s="9"/>
      <c r="E2" s="9"/>
      <c r="F2" s="9"/>
      <c r="G2" s="9"/>
      <c r="H2" s="9"/>
      <c r="I2" s="9"/>
      <c r="J2" s="35"/>
      <c r="K2" s="36" t="s">
        <v>45</v>
      </c>
      <c r="L2" s="307">
        <v>42278</v>
      </c>
      <c r="M2" s="308"/>
      <c r="X2" s="89" t="s">
        <v>110</v>
      </c>
      <c r="Y2" s="89" t="s">
        <v>111</v>
      </c>
    </row>
    <row r="3" spans="1:25" ht="16.5" x14ac:dyDescent="0.3">
      <c r="A3" s="40" t="s">
        <v>11</v>
      </c>
      <c r="B3" s="41"/>
      <c r="C3" s="41"/>
      <c r="D3" s="10"/>
      <c r="E3" s="10"/>
      <c r="F3" s="10"/>
      <c r="G3" s="10"/>
      <c r="H3" s="10"/>
      <c r="I3" s="10"/>
      <c r="J3" s="37"/>
      <c r="K3" s="36" t="s">
        <v>44</v>
      </c>
      <c r="L3" s="307" t="s">
        <v>96</v>
      </c>
      <c r="M3" s="308"/>
      <c r="X3" s="38" t="s">
        <v>112</v>
      </c>
      <c r="Y3" s="38" t="s">
        <v>113</v>
      </c>
    </row>
    <row r="4" spans="1:25" ht="15" customHeight="1" x14ac:dyDescent="0.3">
      <c r="A4" s="40" t="s">
        <v>12</v>
      </c>
      <c r="B4" s="41"/>
      <c r="C4" s="41"/>
      <c r="D4" s="9"/>
      <c r="E4" s="9"/>
      <c r="F4" s="9"/>
      <c r="G4" s="9"/>
      <c r="H4" s="9"/>
      <c r="I4" s="9"/>
      <c r="J4" s="35"/>
      <c r="K4" s="36" t="s">
        <v>47</v>
      </c>
      <c r="L4" s="79" t="s">
        <v>98</v>
      </c>
      <c r="M4" s="77" t="s">
        <v>119</v>
      </c>
    </row>
    <row r="5" spans="1:25" ht="16.5" x14ac:dyDescent="0.3">
      <c r="A5" s="40" t="s">
        <v>10</v>
      </c>
      <c r="B5" s="41"/>
      <c r="C5" s="41"/>
      <c r="D5" s="9"/>
      <c r="E5" s="9"/>
      <c r="F5" s="9"/>
      <c r="G5" s="9"/>
      <c r="H5" s="9"/>
      <c r="I5" s="9"/>
      <c r="J5" s="309"/>
      <c r="K5" s="309"/>
      <c r="L5" s="310"/>
      <c r="M5" s="311"/>
      <c r="P5" t="s">
        <v>105</v>
      </c>
    </row>
    <row r="6" spans="1:25" ht="16.5" x14ac:dyDescent="0.3">
      <c r="A6" s="40" t="s">
        <v>9</v>
      </c>
      <c r="B6" s="41"/>
      <c r="C6" s="41"/>
      <c r="D6" s="9"/>
      <c r="E6" s="9"/>
      <c r="F6" s="9"/>
      <c r="G6" s="9"/>
      <c r="H6" s="9"/>
      <c r="I6" s="9"/>
      <c r="J6" s="9"/>
      <c r="K6" s="9"/>
      <c r="L6" s="9"/>
      <c r="M6" s="11"/>
      <c r="P6" t="s">
        <v>106</v>
      </c>
    </row>
    <row r="7" spans="1:25" x14ac:dyDescent="0.3">
      <c r="A7" s="12"/>
      <c r="B7" s="1"/>
      <c r="C7" s="1"/>
      <c r="D7" s="9"/>
      <c r="E7" s="9"/>
      <c r="F7" s="9"/>
      <c r="G7" s="9"/>
      <c r="H7" s="9"/>
      <c r="I7" s="9"/>
      <c r="J7" s="9"/>
      <c r="K7" s="9"/>
      <c r="L7" s="9"/>
      <c r="M7" s="11"/>
      <c r="P7" t="s">
        <v>89</v>
      </c>
    </row>
    <row r="8" spans="1:25" x14ac:dyDescent="0.3">
      <c r="A8" s="12"/>
      <c r="B8" s="1"/>
      <c r="C8" s="1"/>
      <c r="D8" s="1"/>
      <c r="E8" s="1"/>
      <c r="F8" s="1"/>
      <c r="G8" s="1"/>
      <c r="H8" s="1"/>
      <c r="I8" s="1"/>
      <c r="J8" s="1"/>
      <c r="K8" s="1"/>
      <c r="L8" s="1"/>
      <c r="M8" s="11"/>
    </row>
    <row r="9" spans="1:25" ht="16.5" x14ac:dyDescent="0.3">
      <c r="A9" s="13" t="s">
        <v>1</v>
      </c>
      <c r="B9" s="3"/>
      <c r="C9" s="3"/>
      <c r="D9" s="3"/>
      <c r="E9" s="3"/>
      <c r="F9" s="3"/>
      <c r="G9" s="3"/>
      <c r="H9" s="3"/>
      <c r="I9" s="3"/>
      <c r="J9" s="3"/>
      <c r="K9" s="3"/>
      <c r="L9" s="3" t="s">
        <v>31</v>
      </c>
      <c r="M9" s="34"/>
    </row>
    <row r="10" spans="1:25" ht="16.5" x14ac:dyDescent="0.3">
      <c r="A10" s="40" t="s">
        <v>88</v>
      </c>
      <c r="B10" s="41"/>
      <c r="C10" s="41"/>
      <c r="D10" s="9"/>
      <c r="E10" s="9"/>
      <c r="F10" s="9"/>
      <c r="G10" s="9"/>
      <c r="H10" s="9"/>
      <c r="I10" s="9"/>
      <c r="J10" s="9"/>
      <c r="K10" s="299" t="s">
        <v>32</v>
      </c>
      <c r="L10" s="299"/>
      <c r="M10" s="59" t="s">
        <v>34</v>
      </c>
    </row>
    <row r="11" spans="1:25" ht="16.5" customHeight="1" x14ac:dyDescent="0.3">
      <c r="A11" s="40" t="s">
        <v>86</v>
      </c>
      <c r="B11" s="41"/>
      <c r="C11" s="41"/>
      <c r="D11" s="9"/>
      <c r="E11" s="9"/>
      <c r="F11" s="9"/>
      <c r="G11" s="9"/>
      <c r="H11" s="9"/>
      <c r="I11" s="9"/>
      <c r="J11" s="9"/>
      <c r="K11" s="299" t="s">
        <v>42</v>
      </c>
      <c r="L11" s="299"/>
      <c r="M11" s="59" t="s">
        <v>43</v>
      </c>
    </row>
    <row r="12" spans="1:25" ht="16.5" customHeight="1" x14ac:dyDescent="0.3">
      <c r="A12" s="40" t="s">
        <v>87</v>
      </c>
      <c r="B12" s="41"/>
      <c r="C12" s="41"/>
      <c r="D12" s="9"/>
      <c r="E12" s="9"/>
      <c r="F12" s="9"/>
      <c r="G12" s="9"/>
      <c r="H12" s="9"/>
      <c r="I12" s="9"/>
      <c r="J12" s="9"/>
      <c r="K12" s="299" t="s">
        <v>41</v>
      </c>
      <c r="L12" s="299"/>
      <c r="M12" s="61">
        <f xml:space="preserve"> K29</f>
        <v>13250</v>
      </c>
      <c r="W12" t="s">
        <v>80</v>
      </c>
      <c r="Y12" t="s">
        <v>36</v>
      </c>
    </row>
    <row r="13" spans="1:25" ht="16.5" customHeight="1" x14ac:dyDescent="0.3">
      <c r="A13" s="40" t="s">
        <v>85</v>
      </c>
      <c r="B13" s="41"/>
      <c r="C13" s="41"/>
      <c r="D13" s="9"/>
      <c r="E13" s="9"/>
      <c r="F13" s="9"/>
      <c r="G13" s="9"/>
      <c r="H13" s="9"/>
      <c r="I13" s="9"/>
      <c r="J13" s="9"/>
      <c r="K13" s="299" t="s">
        <v>35</v>
      </c>
      <c r="L13" s="299"/>
      <c r="M13" s="60" t="str">
        <f>IF(K29/J29=1.06,"Cartons",IF(K29/J29&gt;=1.12,"Drums","Cartons &amp; Drums"))</f>
        <v>Cartons</v>
      </c>
      <c r="O13" s="215" t="s">
        <v>77</v>
      </c>
      <c r="P13" s="215"/>
      <c r="Q13" s="83"/>
      <c r="R13" s="64" t="s">
        <v>78</v>
      </c>
      <c r="S13" s="65" t="s">
        <v>76</v>
      </c>
      <c r="T13" t="s">
        <v>95</v>
      </c>
      <c r="V13" s="51" t="s">
        <v>75</v>
      </c>
      <c r="W13" s="50">
        <v>19800</v>
      </c>
      <c r="Y13" t="s">
        <v>67</v>
      </c>
    </row>
    <row r="14" spans="1:25" ht="16.5" customHeight="1" x14ac:dyDescent="0.3">
      <c r="A14" s="42" t="s">
        <v>84</v>
      </c>
      <c r="B14" s="43"/>
      <c r="C14" s="41"/>
      <c r="D14" s="9"/>
      <c r="E14" s="9"/>
      <c r="F14" s="9"/>
      <c r="G14" s="9"/>
      <c r="H14" s="9"/>
      <c r="I14" s="9"/>
      <c r="J14" s="9"/>
      <c r="K14" s="299" t="s">
        <v>33</v>
      </c>
      <c r="L14" s="299"/>
      <c r="M14" s="60">
        <f>J29/25</f>
        <v>500</v>
      </c>
      <c r="O14" s="215"/>
      <c r="P14" s="215"/>
      <c r="Q14" s="83"/>
      <c r="R14" s="83">
        <v>1</v>
      </c>
      <c r="S14" s="66"/>
      <c r="T14">
        <v>0.5</v>
      </c>
      <c r="V14" s="51" t="s">
        <v>76</v>
      </c>
      <c r="W14" s="50">
        <v>15000</v>
      </c>
      <c r="Y14" t="s">
        <v>91</v>
      </c>
    </row>
    <row r="15" spans="1:25" ht="12" customHeight="1" x14ac:dyDescent="0.3">
      <c r="A15" s="12"/>
      <c r="B15" s="1"/>
      <c r="C15" s="43"/>
      <c r="D15" s="1"/>
      <c r="E15" s="1"/>
      <c r="F15" s="1"/>
      <c r="G15" s="1"/>
      <c r="H15" s="1"/>
      <c r="I15" s="1"/>
      <c r="J15" s="1"/>
      <c r="K15" s="299"/>
      <c r="L15" s="299"/>
      <c r="M15" s="59"/>
      <c r="Y15" t="s">
        <v>89</v>
      </c>
    </row>
    <row r="16" spans="1:25" ht="48.75" customHeight="1" x14ac:dyDescent="0.3">
      <c r="A16" s="31" t="s">
        <v>17</v>
      </c>
      <c r="B16" s="312" t="s">
        <v>0</v>
      </c>
      <c r="C16" s="312"/>
      <c r="D16" s="312"/>
      <c r="E16" s="312" t="s">
        <v>39</v>
      </c>
      <c r="F16" s="312"/>
      <c r="G16" s="32" t="s">
        <v>18</v>
      </c>
      <c r="H16" s="32" t="s">
        <v>104</v>
      </c>
      <c r="I16" s="32" t="s">
        <v>19</v>
      </c>
      <c r="J16" s="32" t="s">
        <v>20</v>
      </c>
      <c r="K16" s="32" t="s">
        <v>23</v>
      </c>
      <c r="L16" s="32" t="s">
        <v>49</v>
      </c>
      <c r="M16" s="33" t="s">
        <v>50</v>
      </c>
      <c r="O16" s="32" t="s">
        <v>72</v>
      </c>
      <c r="P16" s="32" t="s">
        <v>81</v>
      </c>
      <c r="Q16" s="32" t="s">
        <v>94</v>
      </c>
      <c r="R16" s="32" t="s">
        <v>93</v>
      </c>
      <c r="S16" s="32" t="s">
        <v>73</v>
      </c>
    </row>
    <row r="17" spans="1:22" s="50" customFormat="1" ht="30" customHeight="1" x14ac:dyDescent="0.3">
      <c r="A17" s="67">
        <v>2572</v>
      </c>
      <c r="B17" s="290" t="e">
        <f>IF(A17:A28="","",IF(L$4="sys/",VLOOKUP(A17:A28,#REF!,4,FALSE)))</f>
        <v>#REF!</v>
      </c>
      <c r="C17" s="291"/>
      <c r="D17" s="292"/>
      <c r="E17" s="293" t="e">
        <f>IF(A17:A28="","",IF(L$4="sys/",VLOOKUP(A17:A28,#REF!,7,FALSE)))</f>
        <v>#REF!</v>
      </c>
      <c r="F17" s="294"/>
      <c r="G17" s="53" t="e">
        <f>IF(A17:A28="","",IF(L$4="sys/",VLOOKUP(A17:A28,#REF!,9,FALSE)))</f>
        <v>#REF!</v>
      </c>
      <c r="H17" s="53" t="s">
        <v>105</v>
      </c>
      <c r="I17" s="53" t="e">
        <f>IF(A17:A28="","",IF(L$4="sys/",VLOOKUP(A17:A28,#REF!,8,FALSE)))</f>
        <v>#REF!</v>
      </c>
      <c r="J17" s="52">
        <v>9500</v>
      </c>
      <c r="K17" s="52">
        <f>IF(H17="","",IF(H17="carton",(J17*26.5/25),IF(H17="drum",J17*28/25,IF(H17="bale",0))))</f>
        <v>10070</v>
      </c>
      <c r="L17" s="86" t="str">
        <f>FIXED(O17-(M$31/J$29),2,1)</f>
        <v>37.71</v>
      </c>
      <c r="M17" s="74">
        <f>J17*L17</f>
        <v>358245</v>
      </c>
      <c r="N17" s="49"/>
      <c r="O17" s="70">
        <v>38.5</v>
      </c>
      <c r="P17" s="48"/>
      <c r="Q17" s="73"/>
      <c r="R17" s="63" t="e">
        <f>(O17-P17)/P17+Q17</f>
        <v>#DIV/0!</v>
      </c>
      <c r="S17" s="50" t="e">
        <f>O17*J17*R17</f>
        <v>#DIV/0!</v>
      </c>
      <c r="T17" s="50">
        <f>O17*J17</f>
        <v>365750</v>
      </c>
    </row>
    <row r="18" spans="1:22" s="50" customFormat="1" ht="30" customHeight="1" x14ac:dyDescent="0.3">
      <c r="A18" s="68">
        <v>7000</v>
      </c>
      <c r="B18" s="290" t="e">
        <f>IF(A18:A29="","",IF(L$4="sys/",VLOOKUP(A18:A29,#REF!,4,FALSE)))</f>
        <v>#REF!</v>
      </c>
      <c r="C18" s="291"/>
      <c r="D18" s="292"/>
      <c r="E18" s="293" t="e">
        <f>IF(A18:A29="","",IF(L$4="sys/",VLOOKUP(A18:A29,#REF!,7,FALSE)))</f>
        <v>#REF!</v>
      </c>
      <c r="F18" s="294"/>
      <c r="G18" s="53" t="e">
        <f>IF(A18:A29="","",IF(L$4="sys/",VLOOKUP(A18:A29,#REF!,9,FALSE)))</f>
        <v>#REF!</v>
      </c>
      <c r="H18" s="53" t="s">
        <v>105</v>
      </c>
      <c r="I18" s="53" t="e">
        <f>IF(A18:A29="","",IF(L$4="sys/",VLOOKUP(A18:A29,#REF!,8,FALSE)))</f>
        <v>#REF!</v>
      </c>
      <c r="J18" s="53">
        <v>3000</v>
      </c>
      <c r="K18" s="53">
        <f t="shared" ref="K18:K28" si="0">IF(H18="","",IF(H18="carton",(J18*26.5/25),IF(H18="drum",J18*28/25,IF(H18="bale",0))))</f>
        <v>3180</v>
      </c>
      <c r="L18" s="85" t="str">
        <f>FIXED(O18-(M$31/J$29),2,1)</f>
        <v>29.21</v>
      </c>
      <c r="M18" s="74">
        <f>J18*L18</f>
        <v>87630</v>
      </c>
      <c r="N18" s="49"/>
      <c r="O18" s="70">
        <v>30</v>
      </c>
      <c r="P18" s="48"/>
      <c r="Q18" s="73"/>
      <c r="R18" s="63" t="e">
        <f>(O18-P18)/P18+Q18</f>
        <v>#DIV/0!</v>
      </c>
      <c r="S18" s="50" t="e">
        <f>O18*J18*R18</f>
        <v>#DIV/0!</v>
      </c>
      <c r="T18" s="50">
        <f>O18*J18</f>
        <v>90000</v>
      </c>
    </row>
    <row r="19" spans="1:22" s="50" customFormat="1" ht="30" customHeight="1" x14ac:dyDescent="0.3">
      <c r="A19" s="68"/>
      <c r="B19" s="290" t="str">
        <f>IF(A19:A30="","",IF(L$4="sys/",VLOOKUP(A19:A30,#REF!,4,FALSE)))</f>
        <v/>
      </c>
      <c r="C19" s="291"/>
      <c r="D19" s="292"/>
      <c r="E19" s="293" t="str">
        <f>IF(A19:A30="","",IF(L$4="sys/",VLOOKUP(A19:A30,#REF!,7,FALSE)))</f>
        <v/>
      </c>
      <c r="F19" s="294"/>
      <c r="G19" s="53" t="str">
        <f>IF(A19:A30="","",IF(L$4="sys/",VLOOKUP(A19:A30,#REF!,9,FALSE)))</f>
        <v/>
      </c>
      <c r="H19" s="53"/>
      <c r="I19" s="53" t="str">
        <f>IF(A19:A30="","",IF(L$4="sys/",VLOOKUP(A19:A30,#REF!,8,FALSE)))</f>
        <v/>
      </c>
      <c r="J19" s="53"/>
      <c r="K19" s="53" t="str">
        <f t="shared" si="0"/>
        <v/>
      </c>
      <c r="L19" s="85"/>
      <c r="M19" s="74"/>
      <c r="N19" s="49"/>
      <c r="O19" s="70"/>
      <c r="P19" s="48"/>
      <c r="Q19" s="73"/>
      <c r="R19" s="63" t="e">
        <f>(O19-P19)/P19+Q19</f>
        <v>#DIV/0!</v>
      </c>
      <c r="S19" s="50" t="e">
        <f>O19*J19*R19</f>
        <v>#DIV/0!</v>
      </c>
      <c r="T19" s="50">
        <f>O19*J19</f>
        <v>0</v>
      </c>
      <c r="V19" s="51"/>
    </row>
    <row r="20" spans="1:22" s="50" customFormat="1" ht="30" customHeight="1" x14ac:dyDescent="0.3">
      <c r="A20" s="68"/>
      <c r="B20" s="290" t="str">
        <f>IF(A20:A31="","",IF(L$4="sys/",VLOOKUP(A20:A31,#REF!,4,FALSE)))</f>
        <v/>
      </c>
      <c r="C20" s="291"/>
      <c r="D20" s="292"/>
      <c r="E20" s="293" t="str">
        <f>IF(A20:A31="","",IF(L$4="sys/",VLOOKUP(A20:A31,#REF!,7,FALSE)))</f>
        <v/>
      </c>
      <c r="F20" s="294"/>
      <c r="G20" s="53" t="str">
        <f>IF(A20:A31="","",IF(L$4="sys/",VLOOKUP(A20:A31,#REF!,9,FALSE)))</f>
        <v/>
      </c>
      <c r="H20" s="53"/>
      <c r="I20" s="53" t="str">
        <f>IF(A20:A31="","",IF(L$4="sys/",VLOOKUP(A20:A31,#REF!,8,FALSE)))</f>
        <v/>
      </c>
      <c r="J20" s="53"/>
      <c r="K20" s="53" t="str">
        <f t="shared" si="0"/>
        <v/>
      </c>
      <c r="L20" s="85"/>
      <c r="M20" s="74"/>
      <c r="N20" s="49"/>
      <c r="O20" s="70"/>
      <c r="P20" s="48"/>
      <c r="Q20" s="73"/>
      <c r="R20" s="63" t="e">
        <f>(O20-P20)/P20+Q20</f>
        <v>#DIV/0!</v>
      </c>
      <c r="S20" s="50" t="e">
        <f>O20*J20*R20</f>
        <v>#DIV/0!</v>
      </c>
      <c r="T20" s="50">
        <f>O20*J20</f>
        <v>0</v>
      </c>
    </row>
    <row r="21" spans="1:22" s="50" customFormat="1" ht="30" customHeight="1" x14ac:dyDescent="0.3">
      <c r="A21" s="68"/>
      <c r="B21" s="290" t="str">
        <f>IF(A21:A32="","",IF(L$4="sys/",VLOOKUP(A21:A32,#REF!,4,FALSE)))</f>
        <v/>
      </c>
      <c r="C21" s="291"/>
      <c r="D21" s="292"/>
      <c r="E21" s="293" t="str">
        <f>IF(A21:A32="","",IF(L$4="sys/",VLOOKUP(A21:A32,#REF!,7,FALSE)))</f>
        <v/>
      </c>
      <c r="F21" s="294"/>
      <c r="G21" s="53" t="str">
        <f>IF(A21:A32="","",IF(L$4="sys/",VLOOKUP(A21:A32,#REF!,9,FALSE)))</f>
        <v/>
      </c>
      <c r="H21" s="53"/>
      <c r="I21" s="53" t="str">
        <f>IF(A21:A32="","",IF(L$4="sys/",VLOOKUP(A21:A32,#REF!,8,FALSE)))</f>
        <v/>
      </c>
      <c r="J21" s="53"/>
      <c r="K21" s="53" t="str">
        <f t="shared" si="0"/>
        <v/>
      </c>
      <c r="L21" s="85"/>
      <c r="M21" s="74"/>
      <c r="N21" s="49"/>
      <c r="O21" s="70"/>
      <c r="P21" s="48"/>
      <c r="Q21" s="73"/>
      <c r="R21" s="63" t="e">
        <f>(#REF!-P21)/P21+Q21</f>
        <v>#REF!</v>
      </c>
      <c r="S21" s="50" t="e">
        <f>#REF!*#REF!*R21</f>
        <v>#REF!</v>
      </c>
      <c r="T21" s="50" t="e">
        <f>#REF!*#REF!</f>
        <v>#REF!</v>
      </c>
      <c r="V21" s="51"/>
    </row>
    <row r="22" spans="1:22" s="50" customFormat="1" ht="30" customHeight="1" x14ac:dyDescent="0.3">
      <c r="A22" s="68"/>
      <c r="B22" s="290" t="str">
        <f>IF(A22:A33="","",IF(L$4="sys/",VLOOKUP(A22:A33,#REF!,4,FALSE)))</f>
        <v/>
      </c>
      <c r="C22" s="291"/>
      <c r="D22" s="292"/>
      <c r="E22" s="293" t="str">
        <f>IF(A22:A33="","",IF(L$4="sys/",VLOOKUP(A22:A33,#REF!,7,FALSE)))</f>
        <v/>
      </c>
      <c r="F22" s="294"/>
      <c r="G22" s="53" t="str">
        <f>IF(A22:A33="","",IF(L$4="sys/",VLOOKUP(A22:A33,#REF!,9,FALSE)))</f>
        <v/>
      </c>
      <c r="H22" s="53"/>
      <c r="I22" s="53" t="str">
        <f>IF(A22:A33="","",IF(L$4="sys/",VLOOKUP(A22:A33,#REF!,8,FALSE)))</f>
        <v/>
      </c>
      <c r="J22" s="53"/>
      <c r="K22" s="53" t="str">
        <f t="shared" si="0"/>
        <v/>
      </c>
      <c r="L22" s="85"/>
      <c r="M22" s="74"/>
      <c r="N22" s="49"/>
      <c r="P22" s="48"/>
      <c r="Q22" s="73"/>
      <c r="R22" s="63" t="e">
        <f t="shared" ref="R22:R27" si="1">(O21-P22)/P22+Q22</f>
        <v>#DIV/0!</v>
      </c>
      <c r="S22" s="50" t="e">
        <f>O21*J21*R22</f>
        <v>#DIV/0!</v>
      </c>
      <c r="T22" s="50">
        <f>O21*J21</f>
        <v>0</v>
      </c>
      <c r="V22" s="51">
        <f>M38*5.5%</f>
        <v>25067.625</v>
      </c>
    </row>
    <row r="23" spans="1:22" s="50" customFormat="1" ht="30" customHeight="1" x14ac:dyDescent="0.3">
      <c r="A23" s="68"/>
      <c r="B23" s="290" t="str">
        <f>IF(A23:A34="","",IF(L$4="sys/",VLOOKUP(A23:A34,#REF!,4,FALSE)))</f>
        <v/>
      </c>
      <c r="C23" s="291"/>
      <c r="D23" s="292"/>
      <c r="E23" s="293" t="str">
        <f>IF(A23:A34="","",IF(L$4="sys/",VLOOKUP(A23:A34,#REF!,7,FALSE)))</f>
        <v/>
      </c>
      <c r="F23" s="294"/>
      <c r="G23" s="53" t="str">
        <f>IF(A23:A34="","",IF(L$4="sys/",VLOOKUP(A23:A34,#REF!,9,FALSE)))</f>
        <v/>
      </c>
      <c r="H23" s="53"/>
      <c r="I23" s="53" t="str">
        <f>IF(A23:A34="","",IF(L$4="sys/",VLOOKUP(A23:A34,#REF!,8,FALSE)))</f>
        <v/>
      </c>
      <c r="J23" s="53"/>
      <c r="K23" s="53" t="str">
        <f t="shared" si="0"/>
        <v/>
      </c>
      <c r="L23" s="85"/>
      <c r="M23" s="74"/>
      <c r="N23" s="49"/>
      <c r="Q23" s="73"/>
      <c r="R23" s="63" t="e">
        <f t="shared" si="1"/>
        <v>#DIV/0!</v>
      </c>
      <c r="S23" s="50" t="e">
        <f>O22*J22*R23</f>
        <v>#DIV/0!</v>
      </c>
      <c r="T23" s="50">
        <f>O22*J22</f>
        <v>0</v>
      </c>
      <c r="V23" s="51" t="e">
        <f>S29-V22</f>
        <v>#DIV/0!</v>
      </c>
    </row>
    <row r="24" spans="1:22" s="50" customFormat="1" ht="30" customHeight="1" x14ac:dyDescent="0.3">
      <c r="A24" s="68"/>
      <c r="B24" s="290" t="str">
        <f>IF(A24:A35="","",IF(L$4="sys/",VLOOKUP(A24:A35,#REF!,4,FALSE)))</f>
        <v/>
      </c>
      <c r="C24" s="291"/>
      <c r="D24" s="292"/>
      <c r="E24" s="293" t="str">
        <f>IF(A24:A35="","",IF(L$4="sys/",VLOOKUP(A24:A35,#REF!,7,FALSE)))</f>
        <v/>
      </c>
      <c r="F24" s="294"/>
      <c r="G24" s="53" t="str">
        <f>IF(A24:A35="","",IF(L$4="sys/",VLOOKUP(A24:A35,#REF!,9,FALSE)))</f>
        <v/>
      </c>
      <c r="H24" s="53"/>
      <c r="I24" s="53" t="str">
        <f>IF(A24:A35="","",IF(L$4="sys/",VLOOKUP(A24:A35,#REF!,8,FALSE)))</f>
        <v/>
      </c>
      <c r="J24" s="53"/>
      <c r="K24" s="53" t="str">
        <f t="shared" si="0"/>
        <v/>
      </c>
      <c r="L24" s="85"/>
      <c r="M24" s="74"/>
      <c r="N24" s="49"/>
      <c r="Q24" s="73"/>
      <c r="R24" s="63" t="e">
        <f t="shared" si="1"/>
        <v>#DIV/0!</v>
      </c>
      <c r="S24" s="50" t="e">
        <f>O23*J23*R24</f>
        <v>#DIV/0!</v>
      </c>
      <c r="T24" s="50">
        <f>O23*J23</f>
        <v>0</v>
      </c>
      <c r="V24" s="51"/>
    </row>
    <row r="25" spans="1:22" s="50" customFormat="1" ht="30" customHeight="1" x14ac:dyDescent="0.3">
      <c r="A25" s="68"/>
      <c r="B25" s="290" t="str">
        <f>IF(A25:A36="","",IF(L$4="sys/",VLOOKUP(A25:A36,#REF!,4,FALSE)))</f>
        <v/>
      </c>
      <c r="C25" s="291"/>
      <c r="D25" s="292"/>
      <c r="E25" s="293" t="str">
        <f>IF(A25:A36="","",IF(L$4="sys/",VLOOKUP(A25:A36,#REF!,7,FALSE)))</f>
        <v/>
      </c>
      <c r="F25" s="294"/>
      <c r="G25" s="53" t="str">
        <f>IF(A25:A36="","",IF(L$4="sys/",VLOOKUP(A25:A36,#REF!,9,FALSE)))</f>
        <v/>
      </c>
      <c r="H25" s="53"/>
      <c r="I25" s="53" t="str">
        <f>IF(A25:A36="","",IF(L$4="sys/",VLOOKUP(A25:A36,#REF!,8,FALSE)))</f>
        <v/>
      </c>
      <c r="J25" s="53"/>
      <c r="K25" s="53" t="str">
        <f t="shared" si="0"/>
        <v/>
      </c>
      <c r="L25" s="85"/>
      <c r="M25" s="74"/>
      <c r="N25" s="49"/>
      <c r="Q25" s="73"/>
      <c r="R25" s="63" t="e">
        <f t="shared" si="1"/>
        <v>#DIV/0!</v>
      </c>
      <c r="S25" s="50" t="e">
        <f>O24*J24*R25</f>
        <v>#DIV/0!</v>
      </c>
      <c r="T25" s="50">
        <f>O24*J24</f>
        <v>0</v>
      </c>
      <c r="V25" s="51"/>
    </row>
    <row r="26" spans="1:22" s="50" customFormat="1" ht="30" customHeight="1" x14ac:dyDescent="0.3">
      <c r="A26" s="68"/>
      <c r="B26" s="290" t="str">
        <f>IF(A26:A37="","",IF(L$4="sys/",VLOOKUP(A26:A37,#REF!,4,FALSE)))</f>
        <v/>
      </c>
      <c r="C26" s="291"/>
      <c r="D26" s="292"/>
      <c r="E26" s="293" t="str">
        <f>IF(A26:A37="","",IF(L$4="sys/",VLOOKUP(A26:A37,#REF!,7,FALSE)))</f>
        <v/>
      </c>
      <c r="F26" s="294"/>
      <c r="G26" s="53" t="str">
        <f>IF(A26:A37="","",IF(L$4="sys/",VLOOKUP(A26:A37,#REF!,9,FALSE)))</f>
        <v/>
      </c>
      <c r="H26" s="53"/>
      <c r="I26" s="53" t="str">
        <f>IF(A26:A37="","",IF(L$4="sys/",VLOOKUP(A26:A37,#REF!,8,FALSE)))</f>
        <v/>
      </c>
      <c r="J26" s="53"/>
      <c r="K26" s="53" t="str">
        <f t="shared" si="0"/>
        <v/>
      </c>
      <c r="L26" s="85"/>
      <c r="M26" s="74"/>
      <c r="N26" s="49"/>
      <c r="Q26" s="73"/>
      <c r="R26" s="63" t="e">
        <f t="shared" si="1"/>
        <v>#DIV/0!</v>
      </c>
      <c r="S26" s="50" t="e">
        <f>O25*J25*R26</f>
        <v>#DIV/0!</v>
      </c>
      <c r="V26" s="51"/>
    </row>
    <row r="27" spans="1:22" s="50" customFormat="1" ht="30" customHeight="1" x14ac:dyDescent="0.3">
      <c r="A27" s="68"/>
      <c r="B27" s="290" t="str">
        <f>IF(A27:A38="","",IF(L$4="sys/",VLOOKUP(A27:A38,#REF!,4,FALSE)))</f>
        <v/>
      </c>
      <c r="C27" s="291"/>
      <c r="D27" s="292"/>
      <c r="E27" s="293" t="str">
        <f>IF(A27:A38="","",IF(L$4="sys/",VLOOKUP(A27:A38,#REF!,7,FALSE)))</f>
        <v/>
      </c>
      <c r="F27" s="294"/>
      <c r="G27" s="53" t="str">
        <f>IF(A27:A38="","",IF(L$4="sys/",VLOOKUP(A27:A38,#REF!,9,FALSE)))</f>
        <v/>
      </c>
      <c r="H27" s="53"/>
      <c r="I27" s="53" t="str">
        <f>IF(A27:A38="","",IF(L$4="sys/",VLOOKUP(A27:A38,#REF!,8,FALSE)))</f>
        <v/>
      </c>
      <c r="J27" s="53"/>
      <c r="K27" s="53" t="str">
        <f t="shared" si="0"/>
        <v/>
      </c>
      <c r="L27" s="85"/>
      <c r="M27" s="74"/>
      <c r="N27" s="49"/>
      <c r="Q27" s="73"/>
      <c r="R27" s="63" t="e">
        <f t="shared" si="1"/>
        <v>#DIV/0!</v>
      </c>
      <c r="S27" s="50" t="e">
        <f>O26*J27*R27</f>
        <v>#DIV/0!</v>
      </c>
      <c r="V27" s="51"/>
    </row>
    <row r="28" spans="1:22" s="50" customFormat="1" ht="30" customHeight="1" x14ac:dyDescent="0.3">
      <c r="A28" s="68"/>
      <c r="B28" s="290" t="str">
        <f>IF(A28:A39="","",IF(L$4="sys/",VLOOKUP(A28:A39,#REF!,4,FALSE)))</f>
        <v/>
      </c>
      <c r="C28" s="291"/>
      <c r="D28" s="292"/>
      <c r="E28" s="293" t="str">
        <f>IF(A28:A39="","",IF(L$4="sys/",VLOOKUP(A28:A39,#REF!,7,FALSE)))</f>
        <v/>
      </c>
      <c r="F28" s="294"/>
      <c r="G28" s="53" t="str">
        <f>IF(A28:A39="","",IF(L$4="sys/",VLOOKUP(A28:A39,#REF!,9,FALSE)))</f>
        <v/>
      </c>
      <c r="H28" s="53"/>
      <c r="I28" s="53" t="str">
        <f>IF(A28:A39="","",IF(L$4="sys/",VLOOKUP(A28:A39,#REF!,8,FALSE)))</f>
        <v/>
      </c>
      <c r="J28" s="53"/>
      <c r="K28" s="53" t="str">
        <f t="shared" si="0"/>
        <v/>
      </c>
      <c r="L28" s="85"/>
      <c r="M28" s="74"/>
      <c r="N28" s="49"/>
      <c r="O28" s="76" t="s">
        <v>79</v>
      </c>
      <c r="R28" s="63"/>
      <c r="V28" s="51"/>
    </row>
    <row r="29" spans="1:22" ht="16.5" x14ac:dyDescent="0.3">
      <c r="A29" s="14" t="s">
        <v>5</v>
      </c>
      <c r="B29" s="7"/>
      <c r="C29" s="7"/>
      <c r="D29" s="7"/>
      <c r="E29" s="7"/>
      <c r="F29" s="7"/>
      <c r="G29" s="7"/>
      <c r="H29" s="7"/>
      <c r="I29" s="7"/>
      <c r="J29" s="25">
        <f>SUM(J17:J28)</f>
        <v>12500</v>
      </c>
      <c r="K29" s="25">
        <f>SUM(K17:K28)</f>
        <v>13250</v>
      </c>
      <c r="L29" s="25"/>
      <c r="M29" s="58">
        <f>SUM(M17:M28)</f>
        <v>445875</v>
      </c>
      <c r="P29" s="76"/>
      <c r="Q29" s="76"/>
      <c r="R29" s="76"/>
      <c r="S29" t="e">
        <f>SUM(S17:S28)</f>
        <v>#DIV/0!</v>
      </c>
      <c r="V29" s="47" t="e">
        <f>S29/M38</f>
        <v>#DIV/0!</v>
      </c>
    </row>
    <row r="30" spans="1:22" ht="21" x14ac:dyDescent="0.3">
      <c r="A30" s="286" t="s">
        <v>37</v>
      </c>
      <c r="B30" s="287"/>
      <c r="C30" s="271" t="s">
        <v>40</v>
      </c>
      <c r="D30" s="271"/>
      <c r="E30" s="6"/>
      <c r="F30" s="6"/>
      <c r="G30" s="6"/>
      <c r="H30" s="6"/>
      <c r="I30" s="6"/>
      <c r="J30" s="6"/>
      <c r="K30" s="295" t="s">
        <v>21</v>
      </c>
      <c r="L30" s="296"/>
      <c r="M30" s="57">
        <f>M29</f>
        <v>445875</v>
      </c>
      <c r="R30" s="46"/>
      <c r="V30" s="47"/>
    </row>
    <row r="31" spans="1:22" ht="18.75" x14ac:dyDescent="0.3">
      <c r="A31" s="286" t="s">
        <v>38</v>
      </c>
      <c r="B31" s="287"/>
      <c r="C31" s="271" t="s">
        <v>48</v>
      </c>
      <c r="D31" s="271"/>
      <c r="E31" s="6"/>
      <c r="F31" s="6"/>
      <c r="G31" s="6"/>
      <c r="H31" s="6"/>
      <c r="I31" s="6"/>
      <c r="J31" s="6"/>
      <c r="K31" s="288" t="s">
        <v>22</v>
      </c>
      <c r="L31" s="289"/>
      <c r="M31" s="56">
        <f>(R14*W13+S14*W14)*T14</f>
        <v>9900</v>
      </c>
      <c r="R31" s="47"/>
      <c r="V31" s="47"/>
    </row>
    <row r="32" spans="1:22" ht="16.5" customHeight="1" x14ac:dyDescent="0.3">
      <c r="A32" s="12" t="s">
        <v>46</v>
      </c>
      <c r="B32" s="6"/>
      <c r="C32" s="44" t="s">
        <v>28</v>
      </c>
      <c r="D32" s="6"/>
      <c r="E32" s="6"/>
      <c r="F32" s="6"/>
      <c r="G32" s="6"/>
      <c r="H32" s="6"/>
      <c r="I32" s="6"/>
      <c r="J32" s="6"/>
      <c r="K32" s="276" t="s">
        <v>26</v>
      </c>
      <c r="L32" s="277"/>
      <c r="M32" s="55">
        <v>0</v>
      </c>
      <c r="S32" s="69" t="s">
        <v>82</v>
      </c>
    </row>
    <row r="33" spans="1:19" ht="16.5" customHeight="1" x14ac:dyDescent="0.3">
      <c r="A33" s="15" t="str">
        <f>IF(B1=V1,X3,Y3)</f>
        <v>PAYEE:SINOCHEM TIANJIN CO., LTD</v>
      </c>
      <c r="B33" s="6"/>
      <c r="C33" s="6"/>
      <c r="D33" s="6"/>
      <c r="E33" s="6"/>
      <c r="F33" s="6"/>
      <c r="G33" s="6"/>
      <c r="H33" s="6"/>
      <c r="I33" s="6"/>
      <c r="J33" s="6"/>
      <c r="K33" s="276" t="s">
        <v>27</v>
      </c>
      <c r="L33" s="277"/>
      <c r="M33" s="55">
        <v>0</v>
      </c>
    </row>
    <row r="34" spans="1:19" ht="16.5" customHeight="1" x14ac:dyDescent="0.3">
      <c r="A34" s="16" t="s">
        <v>13</v>
      </c>
      <c r="B34" s="6"/>
      <c r="C34" s="6"/>
      <c r="D34" s="6"/>
      <c r="E34" s="6"/>
      <c r="F34" s="6"/>
      <c r="G34" s="6"/>
      <c r="H34" s="6"/>
      <c r="I34" s="6"/>
      <c r="J34" s="6"/>
      <c r="K34" s="6"/>
      <c r="L34" s="6"/>
      <c r="M34" s="55">
        <v>0</v>
      </c>
    </row>
    <row r="35" spans="1:19" ht="16.5" customHeight="1" x14ac:dyDescent="0.3">
      <c r="A35" s="16" t="s">
        <v>14</v>
      </c>
      <c r="B35" s="6"/>
      <c r="C35" s="6"/>
      <c r="D35" s="6"/>
      <c r="E35" s="6"/>
      <c r="F35" s="6"/>
      <c r="G35" s="6"/>
      <c r="H35" s="6"/>
      <c r="I35" s="6"/>
      <c r="J35" s="6"/>
      <c r="K35" s="6"/>
      <c r="L35" s="6"/>
      <c r="M35" s="55">
        <v>0</v>
      </c>
    </row>
    <row r="36" spans="1:19" ht="16.5" customHeight="1" x14ac:dyDescent="0.3">
      <c r="A36" s="16" t="s">
        <v>15</v>
      </c>
      <c r="B36" s="6"/>
      <c r="C36" s="6"/>
      <c r="D36" s="6"/>
      <c r="E36" s="6"/>
      <c r="F36" s="6"/>
      <c r="G36" s="6"/>
      <c r="H36" s="6"/>
      <c r="I36" s="6"/>
      <c r="J36" s="6"/>
      <c r="K36" s="6"/>
      <c r="L36" s="6"/>
      <c r="M36" s="55">
        <v>0</v>
      </c>
    </row>
    <row r="37" spans="1:19" ht="16.5" customHeight="1" x14ac:dyDescent="0.3">
      <c r="A37" s="16" t="s">
        <v>16</v>
      </c>
      <c r="B37" s="6"/>
      <c r="C37" s="6"/>
      <c r="D37" s="6"/>
      <c r="E37" s="6"/>
      <c r="F37" s="6"/>
      <c r="G37" s="6"/>
      <c r="H37" s="6"/>
      <c r="I37" s="6"/>
      <c r="J37" s="6"/>
      <c r="K37" s="6"/>
      <c r="L37" s="6"/>
      <c r="M37" s="55">
        <v>0</v>
      </c>
      <c r="O37" s="72">
        <v>426655.25</v>
      </c>
    </row>
    <row r="38" spans="1:19" ht="21.75" thickBot="1" x14ac:dyDescent="0.4">
      <c r="A38" s="16" t="str">
        <f>IF(B1=V1,X2,Y2)</f>
        <v>ACCOUNT NUMBER:10002000096220000016</v>
      </c>
      <c r="B38" s="1"/>
      <c r="C38" s="1"/>
      <c r="D38" s="1"/>
      <c r="E38" s="1"/>
      <c r="F38" s="1"/>
      <c r="G38" s="1"/>
      <c r="H38" s="1"/>
      <c r="I38" s="1"/>
      <c r="J38" s="1"/>
      <c r="K38" s="278" t="s">
        <v>25</v>
      </c>
      <c r="L38" s="279"/>
      <c r="M38" s="54">
        <f>SUM(M30+M31)</f>
        <v>455775</v>
      </c>
    </row>
    <row r="39" spans="1:19" ht="18.75" thickBot="1" x14ac:dyDescent="0.35">
      <c r="A39" s="280" t="s">
        <v>83</v>
      </c>
      <c r="B39" s="281"/>
      <c r="C39" s="282" t="e">
        <f ca="1">SpellNumber(M38)</f>
        <v>#NAME?</v>
      </c>
      <c r="D39" s="282"/>
      <c r="E39" s="282"/>
      <c r="F39" s="282"/>
      <c r="G39" s="282"/>
      <c r="H39" s="282"/>
      <c r="I39" s="282"/>
      <c r="J39" s="283"/>
      <c r="K39" s="1"/>
      <c r="L39" s="1"/>
      <c r="M39" s="45" t="s">
        <v>51</v>
      </c>
    </row>
    <row r="40" spans="1:19" x14ac:dyDescent="0.3">
      <c r="A40" s="284"/>
      <c r="B40" s="285"/>
      <c r="C40" s="285"/>
      <c r="D40" s="285"/>
      <c r="E40" s="285"/>
      <c r="F40" s="285"/>
      <c r="G40" s="285"/>
      <c r="H40" s="285"/>
      <c r="I40" s="285"/>
      <c r="J40" s="285"/>
      <c r="K40" s="1"/>
      <c r="L40" s="1"/>
      <c r="M40" s="17"/>
    </row>
    <row r="41" spans="1:19" ht="16.5" x14ac:dyDescent="0.3">
      <c r="A41" s="18" t="s">
        <v>8</v>
      </c>
      <c r="B41" s="5"/>
      <c r="C41" s="5"/>
      <c r="D41" s="5"/>
      <c r="E41" s="5"/>
      <c r="F41" s="5"/>
      <c r="G41" s="5"/>
      <c r="H41" s="5"/>
      <c r="I41" s="5"/>
      <c r="J41" s="5"/>
      <c r="K41" s="5"/>
      <c r="L41" s="5"/>
      <c r="M41" s="19"/>
    </row>
    <row r="42" spans="1:19" x14ac:dyDescent="0.3">
      <c r="A42" s="28" t="s">
        <v>4</v>
      </c>
      <c r="B42" s="27"/>
      <c r="C42" s="27" t="s">
        <v>28</v>
      </c>
      <c r="D42" s="27"/>
      <c r="E42" s="27"/>
      <c r="F42" s="27"/>
      <c r="G42" s="1"/>
      <c r="H42" s="1"/>
      <c r="I42" s="1"/>
      <c r="J42" s="1"/>
      <c r="K42" s="1"/>
      <c r="L42" s="1"/>
      <c r="M42" s="17"/>
    </row>
    <row r="43" spans="1:19" x14ac:dyDescent="0.3">
      <c r="A43" s="28" t="s">
        <v>2</v>
      </c>
      <c r="B43" s="27"/>
      <c r="C43" s="27" t="s">
        <v>28</v>
      </c>
      <c r="D43" s="27"/>
      <c r="E43" s="27"/>
      <c r="F43" s="27"/>
      <c r="G43" s="1"/>
      <c r="H43" s="1"/>
      <c r="I43" s="1"/>
      <c r="J43" s="1"/>
      <c r="K43" s="1"/>
      <c r="L43" s="1"/>
      <c r="M43" s="17"/>
      <c r="S43" t="e">
        <f ca="1">SpellNumber(M38)</f>
        <v>#NAME?</v>
      </c>
    </row>
    <row r="44" spans="1:19" x14ac:dyDescent="0.3">
      <c r="A44" s="28" t="s">
        <v>3</v>
      </c>
      <c r="B44" s="27"/>
      <c r="C44" s="27" t="s">
        <v>29</v>
      </c>
      <c r="D44" s="27"/>
      <c r="E44" s="27"/>
      <c r="F44" s="27"/>
      <c r="G44" s="1"/>
      <c r="H44" s="1"/>
      <c r="I44" s="1"/>
      <c r="J44" s="1"/>
      <c r="K44" s="1"/>
      <c r="L44" s="1"/>
      <c r="M44" s="17"/>
    </row>
    <row r="45" spans="1:19" x14ac:dyDescent="0.3">
      <c r="A45" s="28"/>
      <c r="B45" s="27"/>
      <c r="C45" s="27"/>
      <c r="D45" s="27"/>
      <c r="E45" s="27"/>
      <c r="F45" s="27"/>
      <c r="G45" s="1"/>
      <c r="H45" s="1"/>
      <c r="I45" s="1"/>
      <c r="J45" s="1"/>
      <c r="K45" s="1"/>
      <c r="L45" s="1"/>
      <c r="M45" s="17"/>
      <c r="R45" t="e">
        <f ca="1">SpellNumber(M38)</f>
        <v>#NAME?</v>
      </c>
    </row>
    <row r="46" spans="1:19" x14ac:dyDescent="0.3">
      <c r="A46" s="29" t="s">
        <v>6</v>
      </c>
      <c r="B46" s="26"/>
      <c r="C46" s="271" t="s">
        <v>24</v>
      </c>
      <c r="D46" s="271"/>
      <c r="E46" s="271"/>
      <c r="F46" s="271"/>
      <c r="G46" s="2"/>
      <c r="H46" s="2"/>
      <c r="I46" s="2"/>
      <c r="J46" s="2"/>
      <c r="K46" s="2"/>
      <c r="L46" s="2"/>
      <c r="M46" s="17"/>
      <c r="R46" t="e">
        <f ca="1">SpellNumber(M38)</f>
        <v>#NAME?</v>
      </c>
    </row>
    <row r="47" spans="1:19" x14ac:dyDescent="0.3">
      <c r="A47" s="20"/>
      <c r="B47" s="2"/>
      <c r="C47" s="2"/>
      <c r="D47" s="2"/>
      <c r="E47" s="2"/>
      <c r="F47" s="2"/>
      <c r="G47" s="2"/>
      <c r="H47" s="2"/>
      <c r="I47" s="2"/>
      <c r="J47" s="2"/>
      <c r="K47" s="2"/>
      <c r="L47" s="2"/>
      <c r="M47" s="17"/>
      <c r="R47" t="e">
        <f ca="1">SpellNumber(M38)</f>
        <v>#NAME?</v>
      </c>
    </row>
    <row r="48" spans="1:19" ht="15" customHeight="1" x14ac:dyDescent="0.3">
      <c r="A48" s="272" t="s">
        <v>30</v>
      </c>
      <c r="B48" s="273"/>
      <c r="C48" s="273"/>
      <c r="D48" s="273"/>
      <c r="E48" s="273"/>
      <c r="F48" s="273"/>
      <c r="G48" s="273"/>
      <c r="H48" s="78"/>
      <c r="I48" s="2"/>
      <c r="J48" s="2"/>
      <c r="K48" s="2"/>
      <c r="L48" s="2"/>
      <c r="M48" s="17"/>
    </row>
    <row r="49" spans="1:13" x14ac:dyDescent="0.3">
      <c r="A49" s="272"/>
      <c r="B49" s="273"/>
      <c r="C49" s="273"/>
      <c r="D49" s="273"/>
      <c r="E49" s="273"/>
      <c r="F49" s="273"/>
      <c r="G49" s="273"/>
      <c r="H49" s="78"/>
      <c r="I49" s="2"/>
      <c r="J49" s="2"/>
      <c r="K49" s="2"/>
      <c r="L49" s="2"/>
      <c r="M49" s="17"/>
    </row>
    <row r="50" spans="1:13" x14ac:dyDescent="0.3">
      <c r="A50" s="272"/>
      <c r="B50" s="273"/>
      <c r="C50" s="273"/>
      <c r="D50" s="273"/>
      <c r="E50" s="273"/>
      <c r="F50" s="273"/>
      <c r="G50" s="273"/>
      <c r="H50" s="78"/>
      <c r="I50" s="2"/>
      <c r="J50" s="2"/>
      <c r="K50" s="2"/>
      <c r="L50" s="2"/>
      <c r="M50" s="17"/>
    </row>
    <row r="51" spans="1:13" x14ac:dyDescent="0.3">
      <c r="A51" s="21" t="s">
        <v>92</v>
      </c>
      <c r="B51" s="4"/>
      <c r="C51" s="2"/>
      <c r="D51" s="2"/>
      <c r="E51" s="2"/>
      <c r="F51" s="2"/>
      <c r="G51" s="2"/>
      <c r="H51" s="2"/>
      <c r="I51" s="2"/>
      <c r="J51" s="2"/>
      <c r="K51" s="2"/>
      <c r="L51" s="2"/>
      <c r="M51" s="17"/>
    </row>
    <row r="52" spans="1:13" ht="15.75" thickBot="1" x14ac:dyDescent="0.35">
      <c r="A52" s="274" t="str">
        <f>IF(B1=V1,X1,Y1)</f>
        <v>SINOCHEM TIANJIN CO., LTD</v>
      </c>
      <c r="B52" s="275">
        <f>IF(C51=W51,Y51,Z51)</f>
        <v>0</v>
      </c>
      <c r="C52" s="275">
        <f>IF(D51=X51,Z51,AA51)</f>
        <v>0</v>
      </c>
      <c r="D52" s="275">
        <f>IF(E51=Y51,AA51,AB51)</f>
        <v>0</v>
      </c>
      <c r="E52" s="24"/>
      <c r="F52" s="22"/>
      <c r="G52" s="22"/>
      <c r="H52" s="22"/>
      <c r="I52" s="22"/>
      <c r="J52" s="22"/>
      <c r="K52" s="22"/>
      <c r="L52" s="22"/>
      <c r="M52" s="23"/>
    </row>
  </sheetData>
  <mergeCells count="53">
    <mergeCell ref="K10:L10"/>
    <mergeCell ref="K11:L11"/>
    <mergeCell ref="K12:L12"/>
    <mergeCell ref="K13:L13"/>
    <mergeCell ref="B1:F1"/>
    <mergeCell ref="L2:M2"/>
    <mergeCell ref="L3:M3"/>
    <mergeCell ref="J5:K5"/>
    <mergeCell ref="L5:M5"/>
    <mergeCell ref="O13:P14"/>
    <mergeCell ref="K14:L14"/>
    <mergeCell ref="B16:D16"/>
    <mergeCell ref="E16:F16"/>
    <mergeCell ref="B17:D17"/>
    <mergeCell ref="E17:F17"/>
    <mergeCell ref="K15:L15"/>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A31:B31"/>
    <mergeCell ref="C31:D31"/>
    <mergeCell ref="K31:L31"/>
    <mergeCell ref="B25:D25"/>
    <mergeCell ref="E25:F25"/>
    <mergeCell ref="B26:D26"/>
    <mergeCell ref="E26:F26"/>
    <mergeCell ref="B27:D27"/>
    <mergeCell ref="E27:F27"/>
    <mergeCell ref="B28:D28"/>
    <mergeCell ref="E28:F28"/>
    <mergeCell ref="A30:B30"/>
    <mergeCell ref="C30:D30"/>
    <mergeCell ref="K30:L30"/>
    <mergeCell ref="C46:F46"/>
    <mergeCell ref="A48:G50"/>
    <mergeCell ref="A52:D52"/>
    <mergeCell ref="K32:L32"/>
    <mergeCell ref="K33:L33"/>
    <mergeCell ref="K38:L38"/>
    <mergeCell ref="A39:B39"/>
    <mergeCell ref="C39:J39"/>
    <mergeCell ref="A40:J40"/>
  </mergeCells>
  <dataValidations count="2">
    <dataValidation type="list" allowBlank="1" showInputMessage="1" showErrorMessage="1" sqref="H17:H28" xr:uid="{00000000-0002-0000-1000-000000000000}">
      <formula1>$P$5:$P$7</formula1>
    </dataValidation>
    <dataValidation type="list" allowBlank="1" showInputMessage="1" showErrorMessage="1" sqref="B1:F1" xr:uid="{00000000-0002-0000-1000-000001000000}">
      <formula1>$V$1:$W$1</formula1>
    </dataValidation>
  </dataValidations>
  <printOptions horizontalCentered="1"/>
  <pageMargins left="0.51181102362204722" right="0.51181102362204722" top="0.51181102362204722" bottom="0.51181102362204722" header="0.51181102362204722" footer="0.23622047244094491"/>
  <pageSetup scale="65" fitToHeight="0"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pageSetUpPr fitToPage="1"/>
  </sheetPr>
  <dimension ref="A1:Y52"/>
  <sheetViews>
    <sheetView showGridLines="0" topLeftCell="A28" zoomScale="85" zoomScaleNormal="85" workbookViewId="0">
      <selection activeCell="T485" sqref="T485"/>
    </sheetView>
  </sheetViews>
  <sheetFormatPr defaultRowHeight="15" x14ac:dyDescent="0.3"/>
  <cols>
    <col min="1" max="3" width="11.42578125" customWidth="1"/>
    <col min="4" max="4" width="13.5703125" customWidth="1"/>
    <col min="5" max="5" width="11.42578125" customWidth="1"/>
    <col min="6" max="6" width="17" customWidth="1"/>
    <col min="7" max="7" width="8.140625" bestFit="1" customWidth="1"/>
    <col min="8" max="8" width="8.140625" customWidth="1"/>
    <col min="9" max="12" width="11.42578125" customWidth="1"/>
    <col min="13" max="13" width="16.85546875" customWidth="1"/>
    <col min="14" max="14" width="10.85546875" bestFit="1" customWidth="1"/>
    <col min="15" max="15" width="9.85546875" bestFit="1" customWidth="1"/>
    <col min="18" max="18" width="11.85546875" bestFit="1" customWidth="1"/>
    <col min="22" max="22" width="13.7109375" bestFit="1" customWidth="1"/>
  </cols>
  <sheetData>
    <row r="1" spans="1:25" ht="78" customHeight="1" x14ac:dyDescent="0.45">
      <c r="A1" s="8"/>
      <c r="B1" s="306" t="s">
        <v>108</v>
      </c>
      <c r="C1" s="306"/>
      <c r="D1" s="306"/>
      <c r="E1" s="306"/>
      <c r="F1" s="306"/>
      <c r="G1" s="84"/>
      <c r="H1" s="84"/>
      <c r="I1" s="84"/>
      <c r="J1" s="84"/>
      <c r="K1" s="84"/>
      <c r="L1" s="84"/>
      <c r="M1" s="30" t="s">
        <v>7</v>
      </c>
      <c r="V1" s="87" t="s">
        <v>74</v>
      </c>
      <c r="W1" s="88" t="s">
        <v>108</v>
      </c>
      <c r="X1" s="38" t="s">
        <v>69</v>
      </c>
      <c r="Y1" s="38" t="s">
        <v>109</v>
      </c>
    </row>
    <row r="2" spans="1:25" ht="16.5" x14ac:dyDescent="0.3">
      <c r="A2" s="38" t="str">
        <f>IF(B1=V1,X1,Y1)</f>
        <v>SINOCHEM TIANJIN CO., LTD</v>
      </c>
      <c r="B2" s="39"/>
      <c r="C2" s="39"/>
      <c r="D2" s="9"/>
      <c r="E2" s="9"/>
      <c r="F2" s="9"/>
      <c r="G2" s="9"/>
      <c r="H2" s="9"/>
      <c r="I2" s="9"/>
      <c r="J2" s="35"/>
      <c r="K2" s="36" t="s">
        <v>45</v>
      </c>
      <c r="L2" s="307">
        <v>42278</v>
      </c>
      <c r="M2" s="308"/>
      <c r="X2" s="89" t="s">
        <v>110</v>
      </c>
      <c r="Y2" s="89" t="s">
        <v>111</v>
      </c>
    </row>
    <row r="3" spans="1:25" ht="16.5" x14ac:dyDescent="0.3">
      <c r="A3" s="40" t="s">
        <v>11</v>
      </c>
      <c r="B3" s="41"/>
      <c r="C3" s="41"/>
      <c r="D3" s="10"/>
      <c r="E3" s="10"/>
      <c r="F3" s="10"/>
      <c r="G3" s="10"/>
      <c r="H3" s="10"/>
      <c r="I3" s="10"/>
      <c r="J3" s="37"/>
      <c r="K3" s="36" t="s">
        <v>44</v>
      </c>
      <c r="L3" s="307" t="s">
        <v>96</v>
      </c>
      <c r="M3" s="308"/>
      <c r="X3" s="38" t="s">
        <v>112</v>
      </c>
      <c r="Y3" s="38" t="s">
        <v>113</v>
      </c>
    </row>
    <row r="4" spans="1:25" ht="15" customHeight="1" x14ac:dyDescent="0.3">
      <c r="A4" s="40" t="s">
        <v>12</v>
      </c>
      <c r="B4" s="41"/>
      <c r="C4" s="41"/>
      <c r="D4" s="9"/>
      <c r="E4" s="9"/>
      <c r="F4" s="9"/>
      <c r="G4" s="9"/>
      <c r="H4" s="9"/>
      <c r="I4" s="9"/>
      <c r="J4" s="35"/>
      <c r="K4" s="36" t="s">
        <v>47</v>
      </c>
      <c r="L4" s="79" t="s">
        <v>98</v>
      </c>
      <c r="M4" s="77" t="s">
        <v>118</v>
      </c>
    </row>
    <row r="5" spans="1:25" ht="16.5" x14ac:dyDescent="0.3">
      <c r="A5" s="40" t="s">
        <v>10</v>
      </c>
      <c r="B5" s="41"/>
      <c r="C5" s="41"/>
      <c r="D5" s="9"/>
      <c r="E5" s="9"/>
      <c r="F5" s="9"/>
      <c r="G5" s="9"/>
      <c r="H5" s="9"/>
      <c r="I5" s="9"/>
      <c r="J5" s="309"/>
      <c r="K5" s="309"/>
      <c r="L5" s="310"/>
      <c r="M5" s="311"/>
      <c r="P5" t="s">
        <v>105</v>
      </c>
    </row>
    <row r="6" spans="1:25" ht="16.5" x14ac:dyDescent="0.3">
      <c r="A6" s="40" t="s">
        <v>9</v>
      </c>
      <c r="B6" s="41"/>
      <c r="C6" s="41"/>
      <c r="D6" s="9"/>
      <c r="E6" s="9"/>
      <c r="F6" s="9"/>
      <c r="G6" s="9"/>
      <c r="H6" s="9"/>
      <c r="I6" s="9"/>
      <c r="J6" s="9"/>
      <c r="K6" s="9"/>
      <c r="L6" s="9"/>
      <c r="M6" s="11"/>
      <c r="P6" t="s">
        <v>106</v>
      </c>
    </row>
    <row r="7" spans="1:25" x14ac:dyDescent="0.3">
      <c r="A7" s="12"/>
      <c r="B7" s="1"/>
      <c r="C7" s="1"/>
      <c r="D7" s="9"/>
      <c r="E7" s="9"/>
      <c r="F7" s="9"/>
      <c r="G7" s="9"/>
      <c r="H7" s="9"/>
      <c r="I7" s="9"/>
      <c r="J7" s="9"/>
      <c r="K7" s="9"/>
      <c r="L7" s="9"/>
      <c r="M7" s="11"/>
      <c r="P7" t="s">
        <v>89</v>
      </c>
    </row>
    <row r="8" spans="1:25" x14ac:dyDescent="0.3">
      <c r="A8" s="12"/>
      <c r="B8" s="1"/>
      <c r="C8" s="1"/>
      <c r="D8" s="1"/>
      <c r="E8" s="1"/>
      <c r="F8" s="1"/>
      <c r="G8" s="1"/>
      <c r="H8" s="1"/>
      <c r="I8" s="1"/>
      <c r="J8" s="1"/>
      <c r="K8" s="1"/>
      <c r="L8" s="1"/>
      <c r="M8" s="11"/>
    </row>
    <row r="9" spans="1:25" ht="16.5" x14ac:dyDescent="0.3">
      <c r="A9" s="13" t="s">
        <v>1</v>
      </c>
      <c r="B9" s="3"/>
      <c r="C9" s="3"/>
      <c r="D9" s="3"/>
      <c r="E9" s="3"/>
      <c r="F9" s="3"/>
      <c r="G9" s="3"/>
      <c r="H9" s="3"/>
      <c r="I9" s="3"/>
      <c r="J9" s="3"/>
      <c r="K9" s="3"/>
      <c r="L9" s="3" t="s">
        <v>31</v>
      </c>
      <c r="M9" s="34"/>
    </row>
    <row r="10" spans="1:25" ht="16.5" x14ac:dyDescent="0.3">
      <c r="A10" s="40" t="s">
        <v>88</v>
      </c>
      <c r="B10" s="41"/>
      <c r="C10" s="41"/>
      <c r="D10" s="9"/>
      <c r="E10" s="9"/>
      <c r="F10" s="9"/>
      <c r="G10" s="9"/>
      <c r="H10" s="9"/>
      <c r="I10" s="9"/>
      <c r="J10" s="9"/>
      <c r="K10" s="299" t="s">
        <v>32</v>
      </c>
      <c r="L10" s="299"/>
      <c r="M10" s="59" t="s">
        <v>34</v>
      </c>
    </row>
    <row r="11" spans="1:25" ht="16.5" customHeight="1" x14ac:dyDescent="0.3">
      <c r="A11" s="40" t="s">
        <v>86</v>
      </c>
      <c r="B11" s="41"/>
      <c r="C11" s="41"/>
      <c r="D11" s="9"/>
      <c r="E11" s="9"/>
      <c r="F11" s="9"/>
      <c r="G11" s="9"/>
      <c r="H11" s="9"/>
      <c r="I11" s="9"/>
      <c r="J11" s="9"/>
      <c r="K11" s="299" t="s">
        <v>42</v>
      </c>
      <c r="L11" s="299"/>
      <c r="M11" s="59" t="s">
        <v>43</v>
      </c>
    </row>
    <row r="12" spans="1:25" ht="16.5" customHeight="1" x14ac:dyDescent="0.3">
      <c r="A12" s="40" t="s">
        <v>87</v>
      </c>
      <c r="B12" s="41"/>
      <c r="C12" s="41"/>
      <c r="D12" s="9"/>
      <c r="E12" s="9"/>
      <c r="F12" s="9"/>
      <c r="G12" s="9"/>
      <c r="H12" s="9"/>
      <c r="I12" s="9"/>
      <c r="J12" s="9"/>
      <c r="K12" s="299" t="s">
        <v>41</v>
      </c>
      <c r="L12" s="299"/>
      <c r="M12" s="61">
        <f xml:space="preserve"> K29</f>
        <v>12720</v>
      </c>
      <c r="W12" t="s">
        <v>80</v>
      </c>
      <c r="Y12" t="s">
        <v>36</v>
      </c>
    </row>
    <row r="13" spans="1:25" ht="16.5" customHeight="1" x14ac:dyDescent="0.3">
      <c r="A13" s="40" t="s">
        <v>85</v>
      </c>
      <c r="B13" s="41"/>
      <c r="C13" s="41"/>
      <c r="D13" s="9"/>
      <c r="E13" s="9"/>
      <c r="F13" s="9"/>
      <c r="G13" s="9"/>
      <c r="H13" s="9"/>
      <c r="I13" s="9"/>
      <c r="J13" s="9"/>
      <c r="K13" s="299" t="s">
        <v>35</v>
      </c>
      <c r="L13" s="299"/>
      <c r="M13" s="60" t="str">
        <f>IF(K29/J29=1.06,"Cartons",IF(K29/J29&gt;=1.12,"Drums","Cartons &amp; Drums"))</f>
        <v>Cartons</v>
      </c>
      <c r="O13" s="215" t="s">
        <v>77</v>
      </c>
      <c r="P13" s="215"/>
      <c r="Q13" s="83"/>
      <c r="R13" s="64" t="s">
        <v>78</v>
      </c>
      <c r="S13" s="65" t="s">
        <v>76</v>
      </c>
      <c r="T13" t="s">
        <v>95</v>
      </c>
      <c r="V13" s="51" t="s">
        <v>75</v>
      </c>
      <c r="W13" s="50">
        <v>19800</v>
      </c>
      <c r="Y13" t="s">
        <v>67</v>
      </c>
    </row>
    <row r="14" spans="1:25" ht="16.5" customHeight="1" x14ac:dyDescent="0.3">
      <c r="A14" s="42" t="s">
        <v>84</v>
      </c>
      <c r="B14" s="43"/>
      <c r="C14" s="41"/>
      <c r="D14" s="9"/>
      <c r="E14" s="9"/>
      <c r="F14" s="9"/>
      <c r="G14" s="9"/>
      <c r="H14" s="9"/>
      <c r="I14" s="9"/>
      <c r="J14" s="9"/>
      <c r="K14" s="299" t="s">
        <v>33</v>
      </c>
      <c r="L14" s="299"/>
      <c r="M14" s="60">
        <f>J29/25</f>
        <v>480</v>
      </c>
      <c r="O14" s="215"/>
      <c r="P14" s="215"/>
      <c r="Q14" s="83"/>
      <c r="R14" s="83">
        <v>1</v>
      </c>
      <c r="S14" s="66"/>
      <c r="T14">
        <v>0.5</v>
      </c>
      <c r="V14" s="51" t="s">
        <v>76</v>
      </c>
      <c r="W14" s="50">
        <v>15000</v>
      </c>
      <c r="Y14" t="s">
        <v>91</v>
      </c>
    </row>
    <row r="15" spans="1:25" ht="12" customHeight="1" x14ac:dyDescent="0.3">
      <c r="A15" s="12"/>
      <c r="B15" s="1"/>
      <c r="C15" s="43"/>
      <c r="D15" s="1"/>
      <c r="E15" s="1"/>
      <c r="F15" s="1"/>
      <c r="G15" s="1"/>
      <c r="H15" s="1"/>
      <c r="I15" s="1"/>
      <c r="J15" s="1"/>
      <c r="K15" s="299"/>
      <c r="L15" s="299"/>
      <c r="M15" s="59"/>
      <c r="Y15" t="s">
        <v>89</v>
      </c>
    </row>
    <row r="16" spans="1:25" ht="48.75" customHeight="1" x14ac:dyDescent="0.3">
      <c r="A16" s="31" t="s">
        <v>17</v>
      </c>
      <c r="B16" s="312" t="s">
        <v>0</v>
      </c>
      <c r="C16" s="312"/>
      <c r="D16" s="312"/>
      <c r="E16" s="312" t="s">
        <v>39</v>
      </c>
      <c r="F16" s="312"/>
      <c r="G16" s="32" t="s">
        <v>18</v>
      </c>
      <c r="H16" s="32" t="s">
        <v>104</v>
      </c>
      <c r="I16" s="32" t="s">
        <v>19</v>
      </c>
      <c r="J16" s="32" t="s">
        <v>20</v>
      </c>
      <c r="K16" s="32" t="s">
        <v>23</v>
      </c>
      <c r="L16" s="32" t="s">
        <v>49</v>
      </c>
      <c r="M16" s="33" t="s">
        <v>50</v>
      </c>
      <c r="O16" s="32" t="s">
        <v>72</v>
      </c>
      <c r="P16" s="32" t="s">
        <v>81</v>
      </c>
      <c r="Q16" s="32" t="s">
        <v>94</v>
      </c>
      <c r="R16" s="32" t="s">
        <v>93</v>
      </c>
      <c r="S16" s="32" t="s">
        <v>73</v>
      </c>
    </row>
    <row r="17" spans="1:22" s="50" customFormat="1" ht="30" customHeight="1" x14ac:dyDescent="0.3">
      <c r="A17" s="67">
        <v>2572</v>
      </c>
      <c r="B17" s="290" t="e">
        <f>IF(A17:A28="","",IF(L$4="sys/",VLOOKUP(A17:A28,#REF!,4,FALSE)))</f>
        <v>#REF!</v>
      </c>
      <c r="C17" s="291"/>
      <c r="D17" s="292"/>
      <c r="E17" s="293" t="e">
        <f>IF(A17:A28="","",IF(L$4="sys/",VLOOKUP(A17:A28,#REF!,7,FALSE)))</f>
        <v>#REF!</v>
      </c>
      <c r="F17" s="294"/>
      <c r="G17" s="53" t="e">
        <f>IF(A17:A28="","",IF(L$4="sys/",VLOOKUP(A17:A28,#REF!,9,FALSE)))</f>
        <v>#REF!</v>
      </c>
      <c r="H17" s="53" t="s">
        <v>105</v>
      </c>
      <c r="I17" s="53" t="e">
        <f>IF(A17:A28="","",IF(L$4="sys/",VLOOKUP(A17:A28,#REF!,8,FALSE)))</f>
        <v>#REF!</v>
      </c>
      <c r="J17" s="52">
        <v>12000</v>
      </c>
      <c r="K17" s="52">
        <f>IF(H17="","",IF(H17="carton",(J17*26.5/25),IF(H17="drum",J17*28/25,IF(H17="bale",0))))</f>
        <v>12720</v>
      </c>
      <c r="L17" s="86" t="str">
        <f>FIXED(O17-(M$31/J$29),2,1)</f>
        <v>37.68</v>
      </c>
      <c r="M17" s="74">
        <f>J17*L17</f>
        <v>452160</v>
      </c>
      <c r="N17" s="49"/>
      <c r="O17" s="70">
        <v>38.5</v>
      </c>
      <c r="P17" s="48"/>
      <c r="Q17" s="73"/>
      <c r="R17" s="63" t="e">
        <f>(O17-P17)/P17+Q17</f>
        <v>#DIV/0!</v>
      </c>
      <c r="S17" s="50" t="e">
        <f>O17*J17*R17</f>
        <v>#DIV/0!</v>
      </c>
      <c r="T17" s="50">
        <f>O17*J17</f>
        <v>462000</v>
      </c>
    </row>
    <row r="18" spans="1:22" s="50" customFormat="1" ht="30" customHeight="1" x14ac:dyDescent="0.3">
      <c r="A18" s="68"/>
      <c r="B18" s="290" t="str">
        <f>IF(A18:A29="","",IF(L$4="sys/",VLOOKUP(A18:A29,#REF!,4,FALSE)))</f>
        <v/>
      </c>
      <c r="C18" s="291"/>
      <c r="D18" s="292"/>
      <c r="E18" s="293" t="str">
        <f>IF(A18:A29="","",IF(L$4="sys/",VLOOKUP(A18:A29,#REF!,7,FALSE)))</f>
        <v/>
      </c>
      <c r="F18" s="294"/>
      <c r="G18" s="53" t="str">
        <f>IF(A18:A29="","",IF(L$4="sys/",VLOOKUP(A18:A29,#REF!,9,FALSE)))</f>
        <v/>
      </c>
      <c r="H18" s="53"/>
      <c r="I18" s="53" t="str">
        <f>IF(A18:A29="","",IF(L$4="sys/",VLOOKUP(A18:A29,#REF!,8,FALSE)))</f>
        <v/>
      </c>
      <c r="J18" s="53"/>
      <c r="K18" s="53" t="str">
        <f t="shared" ref="K18:K28" si="0">IF(H18="","",IF(H18="carton",(J18*26.5/25),IF(H18="drum",J18*28/25,IF(H18="bale",0))))</f>
        <v/>
      </c>
      <c r="L18" s="85"/>
      <c r="M18" s="74"/>
      <c r="N18" s="49"/>
      <c r="O18" s="70"/>
      <c r="P18" s="48"/>
      <c r="Q18" s="73"/>
      <c r="R18" s="63" t="e">
        <f>(O18-P18)/P18+Q18</f>
        <v>#DIV/0!</v>
      </c>
      <c r="S18" s="50" t="e">
        <f>O18*J18*R18</f>
        <v>#DIV/0!</v>
      </c>
      <c r="T18" s="50">
        <f>O18*J18</f>
        <v>0</v>
      </c>
    </row>
    <row r="19" spans="1:22" s="50" customFormat="1" ht="30" customHeight="1" x14ac:dyDescent="0.3">
      <c r="A19" s="68"/>
      <c r="B19" s="290" t="str">
        <f>IF(A19:A30="","",IF(L$4="sys/",VLOOKUP(A19:A30,#REF!,4,FALSE)))</f>
        <v/>
      </c>
      <c r="C19" s="291"/>
      <c r="D19" s="292"/>
      <c r="E19" s="293" t="str">
        <f>IF(A19:A30="","",IF(L$4="sys/",VLOOKUP(A19:A30,#REF!,7,FALSE)))</f>
        <v/>
      </c>
      <c r="F19" s="294"/>
      <c r="G19" s="53" t="str">
        <f>IF(A19:A30="","",IF(L$4="sys/",VLOOKUP(A19:A30,#REF!,9,FALSE)))</f>
        <v/>
      </c>
      <c r="H19" s="53"/>
      <c r="I19" s="53" t="str">
        <f>IF(A19:A30="","",IF(L$4="sys/",VLOOKUP(A19:A30,#REF!,8,FALSE)))</f>
        <v/>
      </c>
      <c r="J19" s="53"/>
      <c r="K19" s="53" t="str">
        <f t="shared" si="0"/>
        <v/>
      </c>
      <c r="L19" s="85"/>
      <c r="M19" s="74"/>
      <c r="N19" s="49"/>
      <c r="O19" s="70"/>
      <c r="P19" s="48"/>
      <c r="Q19" s="73"/>
      <c r="R19" s="63" t="e">
        <f>(O19-P19)/P19+Q19</f>
        <v>#DIV/0!</v>
      </c>
      <c r="S19" s="50" t="e">
        <f>O19*J19*R19</f>
        <v>#DIV/0!</v>
      </c>
      <c r="T19" s="50">
        <f>O19*J19</f>
        <v>0</v>
      </c>
      <c r="V19" s="51"/>
    </row>
    <row r="20" spans="1:22" s="50" customFormat="1" ht="30" customHeight="1" x14ac:dyDescent="0.3">
      <c r="A20" s="68"/>
      <c r="B20" s="290" t="str">
        <f>IF(A20:A31="","",IF(L$4="sys/",VLOOKUP(A20:A31,#REF!,4,FALSE)))</f>
        <v/>
      </c>
      <c r="C20" s="291"/>
      <c r="D20" s="292"/>
      <c r="E20" s="293" t="str">
        <f>IF(A20:A31="","",IF(L$4="sys/",VLOOKUP(A20:A31,#REF!,7,FALSE)))</f>
        <v/>
      </c>
      <c r="F20" s="294"/>
      <c r="G20" s="53" t="str">
        <f>IF(A20:A31="","",IF(L$4="sys/",VLOOKUP(A20:A31,#REF!,9,FALSE)))</f>
        <v/>
      </c>
      <c r="H20" s="53"/>
      <c r="I20" s="53" t="str">
        <f>IF(A20:A31="","",IF(L$4="sys/",VLOOKUP(A20:A31,#REF!,8,FALSE)))</f>
        <v/>
      </c>
      <c r="J20" s="53"/>
      <c r="K20" s="53" t="str">
        <f t="shared" si="0"/>
        <v/>
      </c>
      <c r="L20" s="85"/>
      <c r="M20" s="74"/>
      <c r="N20" s="49"/>
      <c r="O20" s="70"/>
      <c r="P20" s="48"/>
      <c r="Q20" s="73"/>
      <c r="R20" s="63" t="e">
        <f>(O20-P20)/P20+Q20</f>
        <v>#DIV/0!</v>
      </c>
      <c r="S20" s="50" t="e">
        <f>O20*J20*R20</f>
        <v>#DIV/0!</v>
      </c>
      <c r="T20" s="50">
        <f>O20*J20</f>
        <v>0</v>
      </c>
    </row>
    <row r="21" spans="1:22" s="50" customFormat="1" ht="30" customHeight="1" x14ac:dyDescent="0.3">
      <c r="A21" s="68"/>
      <c r="B21" s="290" t="str">
        <f>IF(A21:A32="","",IF(L$4="sys/",VLOOKUP(A21:A32,#REF!,4,FALSE)))</f>
        <v/>
      </c>
      <c r="C21" s="291"/>
      <c r="D21" s="292"/>
      <c r="E21" s="293" t="str">
        <f>IF(A21:A32="","",IF(L$4="sys/",VLOOKUP(A21:A32,#REF!,7,FALSE)))</f>
        <v/>
      </c>
      <c r="F21" s="294"/>
      <c r="G21" s="53" t="str">
        <f>IF(A21:A32="","",IF(L$4="sys/",VLOOKUP(A21:A32,#REF!,9,FALSE)))</f>
        <v/>
      </c>
      <c r="H21" s="53"/>
      <c r="I21" s="53" t="str">
        <f>IF(A21:A32="","",IF(L$4="sys/",VLOOKUP(A21:A32,#REF!,8,FALSE)))</f>
        <v/>
      </c>
      <c r="J21" s="53"/>
      <c r="K21" s="53" t="str">
        <f t="shared" si="0"/>
        <v/>
      </c>
      <c r="L21" s="85"/>
      <c r="M21" s="74"/>
      <c r="N21" s="49"/>
      <c r="O21" s="70"/>
      <c r="P21" s="48"/>
      <c r="Q21" s="73"/>
      <c r="R21" s="63" t="e">
        <f>(#REF!-P21)/P21+Q21</f>
        <v>#REF!</v>
      </c>
      <c r="S21" s="50" t="e">
        <f>#REF!*#REF!*R21</f>
        <v>#REF!</v>
      </c>
      <c r="T21" s="50" t="e">
        <f>#REF!*#REF!</f>
        <v>#REF!</v>
      </c>
      <c r="V21" s="51"/>
    </row>
    <row r="22" spans="1:22" s="50" customFormat="1" ht="30" customHeight="1" x14ac:dyDescent="0.3">
      <c r="A22" s="68"/>
      <c r="B22" s="290" t="str">
        <f>IF(A22:A33="","",IF(L$4="sys/",VLOOKUP(A22:A33,#REF!,4,FALSE)))</f>
        <v/>
      </c>
      <c r="C22" s="291"/>
      <c r="D22" s="292"/>
      <c r="E22" s="293" t="str">
        <f>IF(A22:A33="","",IF(L$4="sys/",VLOOKUP(A22:A33,#REF!,7,FALSE)))</f>
        <v/>
      </c>
      <c r="F22" s="294"/>
      <c r="G22" s="53" t="str">
        <f>IF(A22:A33="","",IF(L$4="sys/",VLOOKUP(A22:A33,#REF!,9,FALSE)))</f>
        <v/>
      </c>
      <c r="H22" s="53"/>
      <c r="I22" s="53" t="str">
        <f>IF(A22:A33="","",IF(L$4="sys/",VLOOKUP(A22:A33,#REF!,8,FALSE)))</f>
        <v/>
      </c>
      <c r="J22" s="53"/>
      <c r="K22" s="53" t="str">
        <f t="shared" si="0"/>
        <v/>
      </c>
      <c r="L22" s="85"/>
      <c r="M22" s="74"/>
      <c r="N22" s="49"/>
      <c r="P22" s="48"/>
      <c r="Q22" s="73"/>
      <c r="R22" s="63" t="e">
        <f t="shared" ref="R22:R27" si="1">(O21-P22)/P22+Q22</f>
        <v>#DIV/0!</v>
      </c>
      <c r="S22" s="50" t="e">
        <f>O21*J21*R22</f>
        <v>#DIV/0!</v>
      </c>
      <c r="T22" s="50">
        <f>O21*J21</f>
        <v>0</v>
      </c>
      <c r="V22" s="51">
        <f>M38*5.5%</f>
        <v>25413.3</v>
      </c>
    </row>
    <row r="23" spans="1:22" s="50" customFormat="1" ht="30" customHeight="1" x14ac:dyDescent="0.3">
      <c r="A23" s="68"/>
      <c r="B23" s="290" t="str">
        <f>IF(A23:A34="","",IF(L$4="sys/",VLOOKUP(A23:A34,#REF!,4,FALSE)))</f>
        <v/>
      </c>
      <c r="C23" s="291"/>
      <c r="D23" s="292"/>
      <c r="E23" s="293" t="str">
        <f>IF(A23:A34="","",IF(L$4="sys/",VLOOKUP(A23:A34,#REF!,7,FALSE)))</f>
        <v/>
      </c>
      <c r="F23" s="294"/>
      <c r="G23" s="53" t="str">
        <f>IF(A23:A34="","",IF(L$4="sys/",VLOOKUP(A23:A34,#REF!,9,FALSE)))</f>
        <v/>
      </c>
      <c r="H23" s="53"/>
      <c r="I23" s="53" t="str">
        <f>IF(A23:A34="","",IF(L$4="sys/",VLOOKUP(A23:A34,#REF!,8,FALSE)))</f>
        <v/>
      </c>
      <c r="J23" s="53"/>
      <c r="K23" s="53" t="str">
        <f t="shared" si="0"/>
        <v/>
      </c>
      <c r="L23" s="85"/>
      <c r="M23" s="74"/>
      <c r="N23" s="49"/>
      <c r="Q23" s="73"/>
      <c r="R23" s="63" t="e">
        <f t="shared" si="1"/>
        <v>#DIV/0!</v>
      </c>
      <c r="S23" s="50" t="e">
        <f>O22*J22*R23</f>
        <v>#DIV/0!</v>
      </c>
      <c r="T23" s="50">
        <f>O22*J22</f>
        <v>0</v>
      </c>
      <c r="V23" s="51" t="e">
        <f>S29-V22</f>
        <v>#DIV/0!</v>
      </c>
    </row>
    <row r="24" spans="1:22" s="50" customFormat="1" ht="30" customHeight="1" x14ac:dyDescent="0.3">
      <c r="A24" s="68"/>
      <c r="B24" s="290" t="str">
        <f>IF(A24:A35="","",IF(L$4="sys/",VLOOKUP(A24:A35,#REF!,4,FALSE)))</f>
        <v/>
      </c>
      <c r="C24" s="291"/>
      <c r="D24" s="292"/>
      <c r="E24" s="293" t="str">
        <f>IF(A24:A35="","",IF(L$4="sys/",VLOOKUP(A24:A35,#REF!,7,FALSE)))</f>
        <v/>
      </c>
      <c r="F24" s="294"/>
      <c r="G24" s="53" t="str">
        <f>IF(A24:A35="","",IF(L$4="sys/",VLOOKUP(A24:A35,#REF!,9,FALSE)))</f>
        <v/>
      </c>
      <c r="H24" s="53"/>
      <c r="I24" s="53" t="str">
        <f>IF(A24:A35="","",IF(L$4="sys/",VLOOKUP(A24:A35,#REF!,8,FALSE)))</f>
        <v/>
      </c>
      <c r="J24" s="53"/>
      <c r="K24" s="53" t="str">
        <f t="shared" si="0"/>
        <v/>
      </c>
      <c r="L24" s="85"/>
      <c r="M24" s="74"/>
      <c r="N24" s="49"/>
      <c r="Q24" s="73"/>
      <c r="R24" s="63" t="e">
        <f t="shared" si="1"/>
        <v>#DIV/0!</v>
      </c>
      <c r="S24" s="50" t="e">
        <f>O23*J23*R24</f>
        <v>#DIV/0!</v>
      </c>
      <c r="T24" s="50">
        <f>O23*J23</f>
        <v>0</v>
      </c>
      <c r="V24" s="51"/>
    </row>
    <row r="25" spans="1:22" s="50" customFormat="1" ht="30" customHeight="1" x14ac:dyDescent="0.3">
      <c r="A25" s="68"/>
      <c r="B25" s="290" t="str">
        <f>IF(A25:A36="","",IF(L$4="sys/",VLOOKUP(A25:A36,#REF!,4,FALSE)))</f>
        <v/>
      </c>
      <c r="C25" s="291"/>
      <c r="D25" s="292"/>
      <c r="E25" s="293" t="str">
        <f>IF(A25:A36="","",IF(L$4="sys/",VLOOKUP(A25:A36,#REF!,7,FALSE)))</f>
        <v/>
      </c>
      <c r="F25" s="294"/>
      <c r="G25" s="53" t="str">
        <f>IF(A25:A36="","",IF(L$4="sys/",VLOOKUP(A25:A36,#REF!,9,FALSE)))</f>
        <v/>
      </c>
      <c r="H25" s="53"/>
      <c r="I25" s="53" t="str">
        <f>IF(A25:A36="","",IF(L$4="sys/",VLOOKUP(A25:A36,#REF!,8,FALSE)))</f>
        <v/>
      </c>
      <c r="J25" s="53"/>
      <c r="K25" s="53" t="str">
        <f t="shared" si="0"/>
        <v/>
      </c>
      <c r="L25" s="85"/>
      <c r="M25" s="74"/>
      <c r="N25" s="49"/>
      <c r="Q25" s="73"/>
      <c r="R25" s="63" t="e">
        <f t="shared" si="1"/>
        <v>#DIV/0!</v>
      </c>
      <c r="S25" s="50" t="e">
        <f>O24*J24*R25</f>
        <v>#DIV/0!</v>
      </c>
      <c r="T25" s="50">
        <f>O24*J24</f>
        <v>0</v>
      </c>
      <c r="V25" s="51"/>
    </row>
    <row r="26" spans="1:22" s="50" customFormat="1" ht="30" customHeight="1" x14ac:dyDescent="0.3">
      <c r="A26" s="68"/>
      <c r="B26" s="290" t="str">
        <f>IF(A26:A37="","",IF(L$4="sys/",VLOOKUP(A26:A37,#REF!,4,FALSE)))</f>
        <v/>
      </c>
      <c r="C26" s="291"/>
      <c r="D26" s="292"/>
      <c r="E26" s="293" t="str">
        <f>IF(A26:A37="","",IF(L$4="sys/",VLOOKUP(A26:A37,#REF!,7,FALSE)))</f>
        <v/>
      </c>
      <c r="F26" s="294"/>
      <c r="G26" s="53" t="str">
        <f>IF(A26:A37="","",IF(L$4="sys/",VLOOKUP(A26:A37,#REF!,9,FALSE)))</f>
        <v/>
      </c>
      <c r="H26" s="53"/>
      <c r="I26" s="53" t="str">
        <f>IF(A26:A37="","",IF(L$4="sys/",VLOOKUP(A26:A37,#REF!,8,FALSE)))</f>
        <v/>
      </c>
      <c r="J26" s="53"/>
      <c r="K26" s="53" t="str">
        <f t="shared" si="0"/>
        <v/>
      </c>
      <c r="L26" s="85"/>
      <c r="M26" s="74"/>
      <c r="N26" s="49"/>
      <c r="Q26" s="73"/>
      <c r="R26" s="63" t="e">
        <f t="shared" si="1"/>
        <v>#DIV/0!</v>
      </c>
      <c r="S26" s="50" t="e">
        <f>O25*J25*R26</f>
        <v>#DIV/0!</v>
      </c>
      <c r="V26" s="51"/>
    </row>
    <row r="27" spans="1:22" s="50" customFormat="1" ht="30" customHeight="1" x14ac:dyDescent="0.3">
      <c r="A27" s="68"/>
      <c r="B27" s="290" t="str">
        <f>IF(A27:A38="","",IF(L$4="sys/",VLOOKUP(A27:A38,#REF!,4,FALSE)))</f>
        <v/>
      </c>
      <c r="C27" s="291"/>
      <c r="D27" s="292"/>
      <c r="E27" s="293" t="str">
        <f>IF(A27:A38="","",IF(L$4="sys/",VLOOKUP(A27:A38,#REF!,7,FALSE)))</f>
        <v/>
      </c>
      <c r="F27" s="294"/>
      <c r="G27" s="53" t="str">
        <f>IF(A27:A38="","",IF(L$4="sys/",VLOOKUP(A27:A38,#REF!,9,FALSE)))</f>
        <v/>
      </c>
      <c r="H27" s="53"/>
      <c r="I27" s="53" t="str">
        <f>IF(A27:A38="","",IF(L$4="sys/",VLOOKUP(A27:A38,#REF!,8,FALSE)))</f>
        <v/>
      </c>
      <c r="J27" s="53"/>
      <c r="K27" s="53" t="str">
        <f t="shared" si="0"/>
        <v/>
      </c>
      <c r="L27" s="85"/>
      <c r="M27" s="74"/>
      <c r="N27" s="49"/>
      <c r="Q27" s="73"/>
      <c r="R27" s="63" t="e">
        <f t="shared" si="1"/>
        <v>#DIV/0!</v>
      </c>
      <c r="S27" s="50" t="e">
        <f>O26*J27*R27</f>
        <v>#DIV/0!</v>
      </c>
      <c r="V27" s="51"/>
    </row>
    <row r="28" spans="1:22" s="50" customFormat="1" ht="30" customHeight="1" x14ac:dyDescent="0.3">
      <c r="A28" s="68"/>
      <c r="B28" s="290" t="str">
        <f>IF(A28:A39="","",IF(L$4="sys/",VLOOKUP(A28:A39,#REF!,4,FALSE)))</f>
        <v/>
      </c>
      <c r="C28" s="291"/>
      <c r="D28" s="292"/>
      <c r="E28" s="293" t="str">
        <f>IF(A28:A39="","",IF(L$4="sys/",VLOOKUP(A28:A39,#REF!,7,FALSE)))</f>
        <v/>
      </c>
      <c r="F28" s="294"/>
      <c r="G28" s="53" t="str">
        <f>IF(A28:A39="","",IF(L$4="sys/",VLOOKUP(A28:A39,#REF!,9,FALSE)))</f>
        <v/>
      </c>
      <c r="H28" s="53"/>
      <c r="I28" s="53" t="str">
        <f>IF(A28:A39="","",IF(L$4="sys/",VLOOKUP(A28:A39,#REF!,8,FALSE)))</f>
        <v/>
      </c>
      <c r="J28" s="53"/>
      <c r="K28" s="53" t="str">
        <f t="shared" si="0"/>
        <v/>
      </c>
      <c r="L28" s="85"/>
      <c r="M28" s="74"/>
      <c r="N28" s="49"/>
      <c r="O28" s="76" t="s">
        <v>79</v>
      </c>
      <c r="R28" s="63"/>
      <c r="V28" s="51"/>
    </row>
    <row r="29" spans="1:22" ht="16.5" x14ac:dyDescent="0.3">
      <c r="A29" s="14" t="s">
        <v>5</v>
      </c>
      <c r="B29" s="7"/>
      <c r="C29" s="7"/>
      <c r="D29" s="7"/>
      <c r="E29" s="7"/>
      <c r="F29" s="7"/>
      <c r="G29" s="7"/>
      <c r="H29" s="7"/>
      <c r="I29" s="7"/>
      <c r="J29" s="25">
        <f>SUM(J17:J28)</f>
        <v>12000</v>
      </c>
      <c r="K29" s="25">
        <f>SUM(K17:K28)</f>
        <v>12720</v>
      </c>
      <c r="L29" s="25"/>
      <c r="M29" s="58">
        <f>SUM(M17:M28)</f>
        <v>452160</v>
      </c>
      <c r="P29" s="76"/>
      <c r="Q29" s="76"/>
      <c r="R29" s="76"/>
      <c r="S29" t="e">
        <f>SUM(S17:S28)</f>
        <v>#DIV/0!</v>
      </c>
      <c r="V29" s="47" t="e">
        <f>S29/M38</f>
        <v>#DIV/0!</v>
      </c>
    </row>
    <row r="30" spans="1:22" ht="21" x14ac:dyDescent="0.3">
      <c r="A30" s="286" t="s">
        <v>37</v>
      </c>
      <c r="B30" s="287"/>
      <c r="C30" s="271" t="s">
        <v>40</v>
      </c>
      <c r="D30" s="271"/>
      <c r="E30" s="6"/>
      <c r="F30" s="6"/>
      <c r="G30" s="6"/>
      <c r="H30" s="6"/>
      <c r="I30" s="6"/>
      <c r="J30" s="6"/>
      <c r="K30" s="295" t="s">
        <v>21</v>
      </c>
      <c r="L30" s="296"/>
      <c r="M30" s="57">
        <f>M29</f>
        <v>452160</v>
      </c>
      <c r="R30" s="46"/>
      <c r="V30" s="47"/>
    </row>
    <row r="31" spans="1:22" ht="18.75" x14ac:dyDescent="0.3">
      <c r="A31" s="286" t="s">
        <v>38</v>
      </c>
      <c r="B31" s="287"/>
      <c r="C31" s="271" t="s">
        <v>48</v>
      </c>
      <c r="D31" s="271"/>
      <c r="E31" s="6"/>
      <c r="F31" s="6"/>
      <c r="G31" s="6"/>
      <c r="H31" s="6"/>
      <c r="I31" s="6"/>
      <c r="J31" s="6"/>
      <c r="K31" s="288" t="s">
        <v>22</v>
      </c>
      <c r="L31" s="289"/>
      <c r="M31" s="56">
        <f>(R14*W13+S14*W14)*T14</f>
        <v>9900</v>
      </c>
      <c r="R31" s="47"/>
      <c r="V31" s="47"/>
    </row>
    <row r="32" spans="1:22" ht="16.5" customHeight="1" x14ac:dyDescent="0.3">
      <c r="A32" s="12" t="s">
        <v>46</v>
      </c>
      <c r="B32" s="6"/>
      <c r="C32" s="44" t="s">
        <v>28</v>
      </c>
      <c r="D32" s="6"/>
      <c r="E32" s="6"/>
      <c r="F32" s="6"/>
      <c r="G32" s="6"/>
      <c r="H32" s="6"/>
      <c r="I32" s="6"/>
      <c r="J32" s="6"/>
      <c r="K32" s="276" t="s">
        <v>26</v>
      </c>
      <c r="L32" s="277"/>
      <c r="M32" s="55">
        <v>0</v>
      </c>
      <c r="S32" s="69" t="s">
        <v>82</v>
      </c>
    </row>
    <row r="33" spans="1:19" ht="16.5" customHeight="1" x14ac:dyDescent="0.3">
      <c r="A33" s="15" t="str">
        <f>IF(B1=V1,X3,Y3)</f>
        <v>PAYEE:SINOCHEM TIANJIN CO., LTD</v>
      </c>
      <c r="B33" s="6"/>
      <c r="C33" s="6"/>
      <c r="D33" s="6"/>
      <c r="E33" s="6"/>
      <c r="F33" s="6"/>
      <c r="G33" s="6"/>
      <c r="H33" s="6"/>
      <c r="I33" s="6"/>
      <c r="J33" s="6"/>
      <c r="K33" s="276" t="s">
        <v>27</v>
      </c>
      <c r="L33" s="277"/>
      <c r="M33" s="55">
        <v>0</v>
      </c>
    </row>
    <row r="34" spans="1:19" ht="16.5" customHeight="1" x14ac:dyDescent="0.3">
      <c r="A34" s="16" t="s">
        <v>13</v>
      </c>
      <c r="B34" s="6"/>
      <c r="C34" s="6"/>
      <c r="D34" s="6"/>
      <c r="E34" s="6"/>
      <c r="F34" s="6"/>
      <c r="G34" s="6"/>
      <c r="H34" s="6"/>
      <c r="I34" s="6"/>
      <c r="J34" s="6"/>
      <c r="K34" s="6"/>
      <c r="L34" s="6"/>
      <c r="M34" s="55">
        <v>0</v>
      </c>
    </row>
    <row r="35" spans="1:19" ht="16.5" customHeight="1" x14ac:dyDescent="0.3">
      <c r="A35" s="16" t="s">
        <v>14</v>
      </c>
      <c r="B35" s="6"/>
      <c r="C35" s="6"/>
      <c r="D35" s="6"/>
      <c r="E35" s="6"/>
      <c r="F35" s="6"/>
      <c r="G35" s="6"/>
      <c r="H35" s="6"/>
      <c r="I35" s="6"/>
      <c r="J35" s="6"/>
      <c r="K35" s="6"/>
      <c r="L35" s="6"/>
      <c r="M35" s="55">
        <v>0</v>
      </c>
    </row>
    <row r="36" spans="1:19" ht="16.5" customHeight="1" x14ac:dyDescent="0.3">
      <c r="A36" s="16" t="s">
        <v>15</v>
      </c>
      <c r="B36" s="6"/>
      <c r="C36" s="6"/>
      <c r="D36" s="6"/>
      <c r="E36" s="6"/>
      <c r="F36" s="6"/>
      <c r="G36" s="6"/>
      <c r="H36" s="6"/>
      <c r="I36" s="6"/>
      <c r="J36" s="6"/>
      <c r="K36" s="6"/>
      <c r="L36" s="6"/>
      <c r="M36" s="55">
        <v>0</v>
      </c>
    </row>
    <row r="37" spans="1:19" ht="16.5" customHeight="1" x14ac:dyDescent="0.3">
      <c r="A37" s="16" t="s">
        <v>16</v>
      </c>
      <c r="B37" s="6"/>
      <c r="C37" s="6"/>
      <c r="D37" s="6"/>
      <c r="E37" s="6"/>
      <c r="F37" s="6"/>
      <c r="G37" s="6"/>
      <c r="H37" s="6"/>
      <c r="I37" s="6"/>
      <c r="J37" s="6"/>
      <c r="K37" s="6"/>
      <c r="L37" s="6"/>
      <c r="M37" s="55">
        <v>0</v>
      </c>
      <c r="O37" s="72">
        <v>426655.25</v>
      </c>
    </row>
    <row r="38" spans="1:19" ht="21.75" thickBot="1" x14ac:dyDescent="0.4">
      <c r="A38" s="16" t="str">
        <f>IF(B1=V1,X2,Y2)</f>
        <v>ACCOUNT NUMBER:10002000096220000016</v>
      </c>
      <c r="B38" s="1"/>
      <c r="C38" s="1"/>
      <c r="D38" s="1"/>
      <c r="E38" s="1"/>
      <c r="F38" s="1"/>
      <c r="G38" s="1"/>
      <c r="H38" s="1"/>
      <c r="I38" s="1"/>
      <c r="J38" s="1"/>
      <c r="K38" s="278" t="s">
        <v>25</v>
      </c>
      <c r="L38" s="279"/>
      <c r="M38" s="54">
        <f>SUM(M30+M31)</f>
        <v>462060</v>
      </c>
    </row>
    <row r="39" spans="1:19" ht="18.75" thickBot="1" x14ac:dyDescent="0.35">
      <c r="A39" s="280" t="s">
        <v>83</v>
      </c>
      <c r="B39" s="281"/>
      <c r="C39" s="282" t="e">
        <f ca="1">SpellNumber(M38)</f>
        <v>#NAME?</v>
      </c>
      <c r="D39" s="282"/>
      <c r="E39" s="282"/>
      <c r="F39" s="282"/>
      <c r="G39" s="282"/>
      <c r="H39" s="282"/>
      <c r="I39" s="282"/>
      <c r="J39" s="283"/>
      <c r="K39" s="1"/>
      <c r="L39" s="1"/>
      <c r="M39" s="45" t="s">
        <v>51</v>
      </c>
    </row>
    <row r="40" spans="1:19" x14ac:dyDescent="0.3">
      <c r="A40" s="284"/>
      <c r="B40" s="285"/>
      <c r="C40" s="285"/>
      <c r="D40" s="285"/>
      <c r="E40" s="285"/>
      <c r="F40" s="285"/>
      <c r="G40" s="285"/>
      <c r="H40" s="285"/>
      <c r="I40" s="285"/>
      <c r="J40" s="285"/>
      <c r="K40" s="1"/>
      <c r="L40" s="1"/>
      <c r="M40" s="17"/>
    </row>
    <row r="41" spans="1:19" ht="16.5" x14ac:dyDescent="0.3">
      <c r="A41" s="18" t="s">
        <v>8</v>
      </c>
      <c r="B41" s="5"/>
      <c r="C41" s="5"/>
      <c r="D41" s="5"/>
      <c r="E41" s="5"/>
      <c r="F41" s="5"/>
      <c r="G41" s="5"/>
      <c r="H41" s="5"/>
      <c r="I41" s="5"/>
      <c r="J41" s="5"/>
      <c r="K41" s="5"/>
      <c r="L41" s="5"/>
      <c r="M41" s="19"/>
    </row>
    <row r="42" spans="1:19" x14ac:dyDescent="0.3">
      <c r="A42" s="28" t="s">
        <v>4</v>
      </c>
      <c r="B42" s="27"/>
      <c r="C42" s="27" t="s">
        <v>28</v>
      </c>
      <c r="D42" s="27"/>
      <c r="E42" s="27"/>
      <c r="F42" s="27"/>
      <c r="G42" s="1"/>
      <c r="H42" s="1"/>
      <c r="I42" s="1"/>
      <c r="J42" s="1"/>
      <c r="K42" s="1"/>
      <c r="L42" s="1"/>
      <c r="M42" s="17"/>
    </row>
    <row r="43" spans="1:19" x14ac:dyDescent="0.3">
      <c r="A43" s="28" t="s">
        <v>2</v>
      </c>
      <c r="B43" s="27"/>
      <c r="C43" s="27" t="s">
        <v>28</v>
      </c>
      <c r="D43" s="27"/>
      <c r="E43" s="27"/>
      <c r="F43" s="27"/>
      <c r="G43" s="1"/>
      <c r="H43" s="1"/>
      <c r="I43" s="1"/>
      <c r="J43" s="1"/>
      <c r="K43" s="1"/>
      <c r="L43" s="1"/>
      <c r="M43" s="17"/>
      <c r="S43" t="e">
        <f ca="1">SpellNumber(M38)</f>
        <v>#NAME?</v>
      </c>
    </row>
    <row r="44" spans="1:19" x14ac:dyDescent="0.3">
      <c r="A44" s="28" t="s">
        <v>3</v>
      </c>
      <c r="B44" s="27"/>
      <c r="C44" s="27" t="s">
        <v>29</v>
      </c>
      <c r="D44" s="27"/>
      <c r="E44" s="27"/>
      <c r="F44" s="27"/>
      <c r="G44" s="1"/>
      <c r="H44" s="1"/>
      <c r="I44" s="1"/>
      <c r="J44" s="1"/>
      <c r="K44" s="1"/>
      <c r="L44" s="1"/>
      <c r="M44" s="17"/>
    </row>
    <row r="45" spans="1:19" x14ac:dyDescent="0.3">
      <c r="A45" s="28"/>
      <c r="B45" s="27"/>
      <c r="C45" s="27"/>
      <c r="D45" s="27"/>
      <c r="E45" s="27"/>
      <c r="F45" s="27"/>
      <c r="G45" s="1"/>
      <c r="H45" s="1"/>
      <c r="I45" s="1"/>
      <c r="J45" s="1"/>
      <c r="K45" s="1"/>
      <c r="L45" s="1"/>
      <c r="M45" s="17"/>
      <c r="R45" t="e">
        <f ca="1">SpellNumber(M38)</f>
        <v>#NAME?</v>
      </c>
    </row>
    <row r="46" spans="1:19" x14ac:dyDescent="0.3">
      <c r="A46" s="29" t="s">
        <v>6</v>
      </c>
      <c r="B46" s="26"/>
      <c r="C46" s="271" t="s">
        <v>24</v>
      </c>
      <c r="D46" s="271"/>
      <c r="E46" s="271"/>
      <c r="F46" s="271"/>
      <c r="G46" s="2"/>
      <c r="H46" s="2"/>
      <c r="I46" s="2"/>
      <c r="J46" s="2"/>
      <c r="K46" s="2"/>
      <c r="L46" s="2"/>
      <c r="M46" s="17"/>
      <c r="R46" t="e">
        <f ca="1">SpellNumber(M38)</f>
        <v>#NAME?</v>
      </c>
    </row>
    <row r="47" spans="1:19" x14ac:dyDescent="0.3">
      <c r="A47" s="20"/>
      <c r="B47" s="2"/>
      <c r="C47" s="2"/>
      <c r="D47" s="2"/>
      <c r="E47" s="2"/>
      <c r="F47" s="2"/>
      <c r="G47" s="2"/>
      <c r="H47" s="2"/>
      <c r="I47" s="2"/>
      <c r="J47" s="2"/>
      <c r="K47" s="2"/>
      <c r="L47" s="2"/>
      <c r="M47" s="17"/>
      <c r="R47" t="e">
        <f ca="1">SpellNumber(M38)</f>
        <v>#NAME?</v>
      </c>
    </row>
    <row r="48" spans="1:19" ht="15" customHeight="1" x14ac:dyDescent="0.3">
      <c r="A48" s="272" t="s">
        <v>30</v>
      </c>
      <c r="B48" s="273"/>
      <c r="C48" s="273"/>
      <c r="D48" s="273"/>
      <c r="E48" s="273"/>
      <c r="F48" s="273"/>
      <c r="G48" s="273"/>
      <c r="H48" s="78"/>
      <c r="I48" s="2"/>
      <c r="J48" s="2"/>
      <c r="K48" s="2"/>
      <c r="L48" s="2"/>
      <c r="M48" s="17"/>
    </row>
    <row r="49" spans="1:13" x14ac:dyDescent="0.3">
      <c r="A49" s="272"/>
      <c r="B49" s="273"/>
      <c r="C49" s="273"/>
      <c r="D49" s="273"/>
      <c r="E49" s="273"/>
      <c r="F49" s="273"/>
      <c r="G49" s="273"/>
      <c r="H49" s="78"/>
      <c r="I49" s="2"/>
      <c r="J49" s="2"/>
      <c r="K49" s="2"/>
      <c r="L49" s="2"/>
      <c r="M49" s="17"/>
    </row>
    <row r="50" spans="1:13" x14ac:dyDescent="0.3">
      <c r="A50" s="272"/>
      <c r="B50" s="273"/>
      <c r="C50" s="273"/>
      <c r="D50" s="273"/>
      <c r="E50" s="273"/>
      <c r="F50" s="273"/>
      <c r="G50" s="273"/>
      <c r="H50" s="78"/>
      <c r="I50" s="2"/>
      <c r="J50" s="2"/>
      <c r="K50" s="2"/>
      <c r="L50" s="2"/>
      <c r="M50" s="17"/>
    </row>
    <row r="51" spans="1:13" x14ac:dyDescent="0.3">
      <c r="A51" s="21" t="s">
        <v>92</v>
      </c>
      <c r="B51" s="4"/>
      <c r="C51" s="2"/>
      <c r="D51" s="2"/>
      <c r="E51" s="2"/>
      <c r="F51" s="2"/>
      <c r="G51" s="2"/>
      <c r="H51" s="2"/>
      <c r="I51" s="2"/>
      <c r="J51" s="2"/>
      <c r="K51" s="2"/>
      <c r="L51" s="2"/>
      <c r="M51" s="17"/>
    </row>
    <row r="52" spans="1:13" ht="15.75" thickBot="1" x14ac:dyDescent="0.35">
      <c r="A52" s="274" t="str">
        <f>IF(B1=V1,X1,Y1)</f>
        <v>SINOCHEM TIANJIN CO., LTD</v>
      </c>
      <c r="B52" s="275">
        <f>IF(C51=W51,Y51,Z51)</f>
        <v>0</v>
      </c>
      <c r="C52" s="275">
        <f>IF(D51=X51,Z51,AA51)</f>
        <v>0</v>
      </c>
      <c r="D52" s="275">
        <f>IF(E51=Y51,AA51,AB51)</f>
        <v>0</v>
      </c>
      <c r="E52" s="24"/>
      <c r="F52" s="22"/>
      <c r="G52" s="22"/>
      <c r="H52" s="22"/>
      <c r="I52" s="22"/>
      <c r="J52" s="22"/>
      <c r="K52" s="22"/>
      <c r="L52" s="22"/>
      <c r="M52" s="23"/>
    </row>
  </sheetData>
  <mergeCells count="53">
    <mergeCell ref="K10:L10"/>
    <mergeCell ref="K11:L11"/>
    <mergeCell ref="K12:L12"/>
    <mergeCell ref="K13:L13"/>
    <mergeCell ref="B1:F1"/>
    <mergeCell ref="L2:M2"/>
    <mergeCell ref="L3:M3"/>
    <mergeCell ref="J5:K5"/>
    <mergeCell ref="L5:M5"/>
    <mergeCell ref="O13:P14"/>
    <mergeCell ref="K14:L14"/>
    <mergeCell ref="B16:D16"/>
    <mergeCell ref="E16:F16"/>
    <mergeCell ref="B17:D17"/>
    <mergeCell ref="E17:F17"/>
    <mergeCell ref="K15:L15"/>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A31:B31"/>
    <mergeCell ref="C31:D31"/>
    <mergeCell ref="K31:L31"/>
    <mergeCell ref="B25:D25"/>
    <mergeCell ref="E25:F25"/>
    <mergeCell ref="B26:D26"/>
    <mergeCell ref="E26:F26"/>
    <mergeCell ref="B27:D27"/>
    <mergeCell ref="E27:F27"/>
    <mergeCell ref="B28:D28"/>
    <mergeCell ref="E28:F28"/>
    <mergeCell ref="A30:B30"/>
    <mergeCell ref="C30:D30"/>
    <mergeCell ref="K30:L30"/>
    <mergeCell ref="C46:F46"/>
    <mergeCell ref="A48:G50"/>
    <mergeCell ref="A52:D52"/>
    <mergeCell ref="K32:L32"/>
    <mergeCell ref="K33:L33"/>
    <mergeCell ref="K38:L38"/>
    <mergeCell ref="A39:B39"/>
    <mergeCell ref="C39:J39"/>
    <mergeCell ref="A40:J40"/>
  </mergeCells>
  <dataValidations count="2">
    <dataValidation type="list" allowBlank="1" showInputMessage="1" showErrorMessage="1" sqref="H17:H28" xr:uid="{00000000-0002-0000-1100-000000000000}">
      <formula1>$P$5:$P$7</formula1>
    </dataValidation>
    <dataValidation type="list" allowBlank="1" showInputMessage="1" showErrorMessage="1" sqref="B1:F1" xr:uid="{00000000-0002-0000-1100-000001000000}">
      <formula1>$V$1:$W$1</formula1>
    </dataValidation>
  </dataValidations>
  <printOptions horizontalCentered="1"/>
  <pageMargins left="0.51181102362204722" right="0.51181102362204722" top="0.51181102362204722" bottom="0.51181102362204722" header="0.51181102362204722" footer="0.23622047244094491"/>
  <pageSetup scale="65" fitToHeight="0"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pageSetUpPr fitToPage="1"/>
  </sheetPr>
  <dimension ref="A1:Y52"/>
  <sheetViews>
    <sheetView showGridLines="0" topLeftCell="A28" zoomScale="85" zoomScaleNormal="85" workbookViewId="0">
      <selection activeCell="T485" sqref="T485"/>
    </sheetView>
  </sheetViews>
  <sheetFormatPr defaultRowHeight="15" x14ac:dyDescent="0.3"/>
  <cols>
    <col min="1" max="3" width="11.42578125" customWidth="1"/>
    <col min="4" max="4" width="13.5703125" customWidth="1"/>
    <col min="5" max="5" width="11.42578125" customWidth="1"/>
    <col min="6" max="6" width="17" customWidth="1"/>
    <col min="7" max="7" width="8.140625" bestFit="1" customWidth="1"/>
    <col min="8" max="8" width="8.140625" customWidth="1"/>
    <col min="9" max="12" width="11.42578125" customWidth="1"/>
    <col min="13" max="13" width="16.85546875" customWidth="1"/>
    <col min="14" max="14" width="10.85546875" bestFit="1" customWidth="1"/>
    <col min="15" max="15" width="9.85546875" bestFit="1" customWidth="1"/>
    <col min="18" max="18" width="11.85546875" bestFit="1" customWidth="1"/>
    <col min="22" max="22" width="13.7109375" bestFit="1" customWidth="1"/>
  </cols>
  <sheetData>
    <row r="1" spans="1:25" ht="78" customHeight="1" x14ac:dyDescent="0.45">
      <c r="A1" s="8"/>
      <c r="B1" s="306" t="s">
        <v>108</v>
      </c>
      <c r="C1" s="306"/>
      <c r="D1" s="306"/>
      <c r="E1" s="306"/>
      <c r="F1" s="306"/>
      <c r="G1" s="84"/>
      <c r="H1" s="84"/>
      <c r="I1" s="84"/>
      <c r="J1" s="84"/>
      <c r="K1" s="84"/>
      <c r="L1" s="84"/>
      <c r="M1" s="30" t="s">
        <v>7</v>
      </c>
      <c r="V1" s="87" t="s">
        <v>74</v>
      </c>
      <c r="W1" s="88" t="s">
        <v>108</v>
      </c>
      <c r="X1" s="38" t="s">
        <v>69</v>
      </c>
      <c r="Y1" s="38" t="s">
        <v>109</v>
      </c>
    </row>
    <row r="2" spans="1:25" ht="16.5" x14ac:dyDescent="0.3">
      <c r="A2" s="38" t="str">
        <f>IF(B1=V1,X1,Y1)</f>
        <v>SINOCHEM TIANJIN CO., LTD</v>
      </c>
      <c r="B2" s="39"/>
      <c r="C2" s="39"/>
      <c r="D2" s="9"/>
      <c r="E2" s="9"/>
      <c r="F2" s="9"/>
      <c r="G2" s="9"/>
      <c r="H2" s="9"/>
      <c r="I2" s="9"/>
      <c r="J2" s="35"/>
      <c r="K2" s="36" t="s">
        <v>45</v>
      </c>
      <c r="L2" s="307">
        <v>42278</v>
      </c>
      <c r="M2" s="308"/>
      <c r="X2" s="89" t="s">
        <v>110</v>
      </c>
      <c r="Y2" s="89" t="s">
        <v>111</v>
      </c>
    </row>
    <row r="3" spans="1:25" ht="16.5" x14ac:dyDescent="0.3">
      <c r="A3" s="40" t="s">
        <v>11</v>
      </c>
      <c r="B3" s="41"/>
      <c r="C3" s="41"/>
      <c r="D3" s="10"/>
      <c r="E3" s="10"/>
      <c r="F3" s="10"/>
      <c r="G3" s="10"/>
      <c r="H3" s="10"/>
      <c r="I3" s="10"/>
      <c r="J3" s="37"/>
      <c r="K3" s="36" t="s">
        <v>44</v>
      </c>
      <c r="L3" s="307" t="s">
        <v>96</v>
      </c>
      <c r="M3" s="308"/>
      <c r="X3" s="38" t="s">
        <v>112</v>
      </c>
      <c r="Y3" s="38" t="s">
        <v>113</v>
      </c>
    </row>
    <row r="4" spans="1:25" ht="15" customHeight="1" x14ac:dyDescent="0.3">
      <c r="A4" s="40" t="s">
        <v>12</v>
      </c>
      <c r="B4" s="41"/>
      <c r="C4" s="41"/>
      <c r="D4" s="9"/>
      <c r="E4" s="9"/>
      <c r="F4" s="9"/>
      <c r="G4" s="9"/>
      <c r="H4" s="9"/>
      <c r="I4" s="9"/>
      <c r="J4" s="35"/>
      <c r="K4" s="36" t="s">
        <v>47</v>
      </c>
      <c r="L4" s="79" t="s">
        <v>98</v>
      </c>
      <c r="M4" s="77" t="s">
        <v>117</v>
      </c>
    </row>
    <row r="5" spans="1:25" ht="16.5" x14ac:dyDescent="0.3">
      <c r="A5" s="40" t="s">
        <v>10</v>
      </c>
      <c r="B5" s="41"/>
      <c r="C5" s="41"/>
      <c r="D5" s="9"/>
      <c r="E5" s="9"/>
      <c r="F5" s="9"/>
      <c r="G5" s="9"/>
      <c r="H5" s="9"/>
      <c r="I5" s="9"/>
      <c r="J5" s="309"/>
      <c r="K5" s="309"/>
      <c r="L5" s="310"/>
      <c r="M5" s="311"/>
      <c r="P5" t="s">
        <v>105</v>
      </c>
    </row>
    <row r="6" spans="1:25" ht="16.5" x14ac:dyDescent="0.3">
      <c r="A6" s="40" t="s">
        <v>9</v>
      </c>
      <c r="B6" s="41"/>
      <c r="C6" s="41"/>
      <c r="D6" s="9"/>
      <c r="E6" s="9"/>
      <c r="F6" s="9"/>
      <c r="G6" s="9"/>
      <c r="H6" s="9"/>
      <c r="I6" s="9"/>
      <c r="J6" s="9"/>
      <c r="K6" s="9"/>
      <c r="L6" s="9"/>
      <c r="M6" s="11"/>
      <c r="P6" t="s">
        <v>106</v>
      </c>
    </row>
    <row r="7" spans="1:25" x14ac:dyDescent="0.3">
      <c r="A7" s="12"/>
      <c r="B7" s="1"/>
      <c r="C7" s="1"/>
      <c r="D7" s="9"/>
      <c r="E7" s="9"/>
      <c r="F7" s="9"/>
      <c r="G7" s="9"/>
      <c r="H7" s="9"/>
      <c r="I7" s="9"/>
      <c r="J7" s="9"/>
      <c r="K7" s="9"/>
      <c r="L7" s="9"/>
      <c r="M7" s="11"/>
      <c r="P7" t="s">
        <v>89</v>
      </c>
    </row>
    <row r="8" spans="1:25" x14ac:dyDescent="0.3">
      <c r="A8" s="12"/>
      <c r="B8" s="1"/>
      <c r="C8" s="1"/>
      <c r="D8" s="1"/>
      <c r="E8" s="1"/>
      <c r="F8" s="1"/>
      <c r="G8" s="1"/>
      <c r="H8" s="1"/>
      <c r="I8" s="1"/>
      <c r="J8" s="1"/>
      <c r="K8" s="1"/>
      <c r="L8" s="1"/>
      <c r="M8" s="11"/>
    </row>
    <row r="9" spans="1:25" ht="16.5" x14ac:dyDescent="0.3">
      <c r="A9" s="13" t="s">
        <v>1</v>
      </c>
      <c r="B9" s="3"/>
      <c r="C9" s="3"/>
      <c r="D9" s="3"/>
      <c r="E9" s="3"/>
      <c r="F9" s="3"/>
      <c r="G9" s="3"/>
      <c r="H9" s="3"/>
      <c r="I9" s="3"/>
      <c r="J9" s="3"/>
      <c r="K9" s="3"/>
      <c r="L9" s="3" t="s">
        <v>31</v>
      </c>
      <c r="M9" s="34"/>
    </row>
    <row r="10" spans="1:25" ht="16.5" x14ac:dyDescent="0.3">
      <c r="A10" s="40" t="s">
        <v>88</v>
      </c>
      <c r="B10" s="41"/>
      <c r="C10" s="41"/>
      <c r="D10" s="9"/>
      <c r="E10" s="9"/>
      <c r="F10" s="9"/>
      <c r="G10" s="9"/>
      <c r="H10" s="9"/>
      <c r="I10" s="9"/>
      <c r="J10" s="9"/>
      <c r="K10" s="299" t="s">
        <v>32</v>
      </c>
      <c r="L10" s="299"/>
      <c r="M10" s="59" t="s">
        <v>34</v>
      </c>
    </row>
    <row r="11" spans="1:25" ht="16.5" customHeight="1" x14ac:dyDescent="0.3">
      <c r="A11" s="40" t="s">
        <v>86</v>
      </c>
      <c r="B11" s="41"/>
      <c r="C11" s="41"/>
      <c r="D11" s="9"/>
      <c r="E11" s="9"/>
      <c r="F11" s="9"/>
      <c r="G11" s="9"/>
      <c r="H11" s="9"/>
      <c r="I11" s="9"/>
      <c r="J11" s="9"/>
      <c r="K11" s="299" t="s">
        <v>42</v>
      </c>
      <c r="L11" s="299"/>
      <c r="M11" s="59" t="s">
        <v>43</v>
      </c>
    </row>
    <row r="12" spans="1:25" ht="16.5" customHeight="1" x14ac:dyDescent="0.3">
      <c r="A12" s="40" t="s">
        <v>87</v>
      </c>
      <c r="B12" s="41"/>
      <c r="C12" s="41"/>
      <c r="D12" s="9"/>
      <c r="E12" s="9"/>
      <c r="F12" s="9"/>
      <c r="G12" s="9"/>
      <c r="H12" s="9"/>
      <c r="I12" s="9"/>
      <c r="J12" s="9"/>
      <c r="K12" s="299" t="s">
        <v>41</v>
      </c>
      <c r="L12" s="299"/>
      <c r="M12" s="61">
        <f xml:space="preserve"> K29</f>
        <v>12720</v>
      </c>
      <c r="W12" t="s">
        <v>80</v>
      </c>
      <c r="Y12" t="s">
        <v>36</v>
      </c>
    </row>
    <row r="13" spans="1:25" ht="16.5" customHeight="1" x14ac:dyDescent="0.3">
      <c r="A13" s="40" t="s">
        <v>85</v>
      </c>
      <c r="B13" s="41"/>
      <c r="C13" s="41"/>
      <c r="D13" s="9"/>
      <c r="E13" s="9"/>
      <c r="F13" s="9"/>
      <c r="G13" s="9"/>
      <c r="H13" s="9"/>
      <c r="I13" s="9"/>
      <c r="J13" s="9"/>
      <c r="K13" s="299" t="s">
        <v>35</v>
      </c>
      <c r="L13" s="299"/>
      <c r="M13" s="60" t="str">
        <f>IF(K29/J29=1.06,"Cartons",IF(K29/J29&gt;=1.12,"Drums","Cartons &amp; Drums"))</f>
        <v>Cartons</v>
      </c>
      <c r="O13" s="215" t="s">
        <v>77</v>
      </c>
      <c r="P13" s="215"/>
      <c r="Q13" s="83"/>
      <c r="R13" s="64" t="s">
        <v>78</v>
      </c>
      <c r="S13" s="65" t="s">
        <v>76</v>
      </c>
      <c r="T13" t="s">
        <v>95</v>
      </c>
      <c r="V13" s="51" t="s">
        <v>75</v>
      </c>
      <c r="W13" s="50">
        <v>19800</v>
      </c>
      <c r="Y13" t="s">
        <v>67</v>
      </c>
    </row>
    <row r="14" spans="1:25" ht="16.5" customHeight="1" x14ac:dyDescent="0.3">
      <c r="A14" s="42" t="s">
        <v>84</v>
      </c>
      <c r="B14" s="43"/>
      <c r="C14" s="41"/>
      <c r="D14" s="9"/>
      <c r="E14" s="9"/>
      <c r="F14" s="9"/>
      <c r="G14" s="9"/>
      <c r="H14" s="9"/>
      <c r="I14" s="9"/>
      <c r="J14" s="9"/>
      <c r="K14" s="299" t="s">
        <v>33</v>
      </c>
      <c r="L14" s="299"/>
      <c r="M14" s="60">
        <f>J29/25</f>
        <v>480</v>
      </c>
      <c r="O14" s="215"/>
      <c r="P14" s="215"/>
      <c r="Q14" s="83"/>
      <c r="R14" s="83">
        <v>0.5</v>
      </c>
      <c r="S14" s="66"/>
      <c r="T14">
        <v>1</v>
      </c>
      <c r="V14" s="51" t="s">
        <v>76</v>
      </c>
      <c r="W14" s="50">
        <v>15000</v>
      </c>
      <c r="Y14" t="s">
        <v>91</v>
      </c>
    </row>
    <row r="15" spans="1:25" ht="12" customHeight="1" x14ac:dyDescent="0.3">
      <c r="A15" s="12"/>
      <c r="B15" s="1"/>
      <c r="C15" s="43"/>
      <c r="D15" s="1"/>
      <c r="E15" s="1"/>
      <c r="F15" s="1"/>
      <c r="G15" s="1"/>
      <c r="H15" s="1"/>
      <c r="I15" s="1"/>
      <c r="J15" s="1"/>
      <c r="K15" s="299"/>
      <c r="L15" s="299"/>
      <c r="M15" s="59"/>
      <c r="Y15" t="s">
        <v>89</v>
      </c>
    </row>
    <row r="16" spans="1:25" ht="48.75" customHeight="1" x14ac:dyDescent="0.3">
      <c r="A16" s="31" t="s">
        <v>17</v>
      </c>
      <c r="B16" s="312" t="s">
        <v>0</v>
      </c>
      <c r="C16" s="312"/>
      <c r="D16" s="312"/>
      <c r="E16" s="312" t="s">
        <v>39</v>
      </c>
      <c r="F16" s="312"/>
      <c r="G16" s="32" t="s">
        <v>18</v>
      </c>
      <c r="H16" s="32" t="s">
        <v>104</v>
      </c>
      <c r="I16" s="32" t="s">
        <v>19</v>
      </c>
      <c r="J16" s="32" t="s">
        <v>20</v>
      </c>
      <c r="K16" s="32" t="s">
        <v>23</v>
      </c>
      <c r="L16" s="32" t="s">
        <v>49</v>
      </c>
      <c r="M16" s="33" t="s">
        <v>50</v>
      </c>
      <c r="O16" s="32" t="s">
        <v>72</v>
      </c>
      <c r="P16" s="32" t="s">
        <v>81</v>
      </c>
      <c r="Q16" s="32" t="s">
        <v>94</v>
      </c>
      <c r="R16" s="32" t="s">
        <v>93</v>
      </c>
      <c r="S16" s="32" t="s">
        <v>73</v>
      </c>
    </row>
    <row r="17" spans="1:22" s="50" customFormat="1" ht="30" customHeight="1" x14ac:dyDescent="0.3">
      <c r="A17" s="67">
        <v>2992</v>
      </c>
      <c r="B17" s="290" t="e">
        <f>IF(A17:A28="","",IF(L$4="sys/",VLOOKUP(A17:A28,#REF!,4,FALSE)))</f>
        <v>#REF!</v>
      </c>
      <c r="C17" s="291"/>
      <c r="D17" s="292"/>
      <c r="E17" s="293" t="e">
        <f>IF(A17:A28="","",IF(L$4="sys/",VLOOKUP(A17:A28,#REF!,7,FALSE)))</f>
        <v>#REF!</v>
      </c>
      <c r="F17" s="294"/>
      <c r="G17" s="53" t="e">
        <f>IF(A17:A28="","",IF(L$4="sys/",VLOOKUP(A17:A28,#REF!,9,FALSE)))</f>
        <v>#REF!</v>
      </c>
      <c r="H17" s="53" t="s">
        <v>105</v>
      </c>
      <c r="I17" s="53" t="e">
        <f>IF(A17:A28="","",IF(L$4="sys/",VLOOKUP(A17:A28,#REF!,8,FALSE)))</f>
        <v>#REF!</v>
      </c>
      <c r="J17" s="52">
        <v>12000</v>
      </c>
      <c r="K17" s="52">
        <f>IF(H17="","",IF(H17="carton",(J17*26.5/25),IF(H17="drum",J17*28/25,IF(H17="bale",0))))</f>
        <v>12720</v>
      </c>
      <c r="L17" s="86" t="str">
        <f>FIXED(O17-(M$31/J$29),2,1)</f>
        <v>37.18</v>
      </c>
      <c r="M17" s="74">
        <f>J17*L17</f>
        <v>446160</v>
      </c>
      <c r="N17" s="49"/>
      <c r="O17" s="70">
        <v>38</v>
      </c>
      <c r="P17" s="48"/>
      <c r="Q17" s="73"/>
      <c r="R17" s="63" t="e">
        <f>(O17-P17)/P17+Q17</f>
        <v>#DIV/0!</v>
      </c>
      <c r="S17" s="50" t="e">
        <f>O17*J17*R17</f>
        <v>#DIV/0!</v>
      </c>
      <c r="T17" s="50">
        <f>O17*J17</f>
        <v>456000</v>
      </c>
    </row>
    <row r="18" spans="1:22" s="50" customFormat="1" ht="30" customHeight="1" x14ac:dyDescent="0.3">
      <c r="A18" s="68"/>
      <c r="B18" s="290" t="str">
        <f>IF(A18:A29="","",IF(L$4="sys/",VLOOKUP(A18:A29,#REF!,4,FALSE)))</f>
        <v/>
      </c>
      <c r="C18" s="291"/>
      <c r="D18" s="292"/>
      <c r="E18" s="293" t="str">
        <f>IF(A18:A29="","",IF(L$4="sys/",VLOOKUP(A18:A29,#REF!,7,FALSE)))</f>
        <v/>
      </c>
      <c r="F18" s="294"/>
      <c r="G18" s="53" t="str">
        <f>IF(A18:A29="","",IF(L$4="sys/",VLOOKUP(A18:A29,#REF!,9,FALSE)))</f>
        <v/>
      </c>
      <c r="H18" s="53"/>
      <c r="I18" s="53" t="str">
        <f>IF(A18:A29="","",IF(L$4="sys/",VLOOKUP(A18:A29,#REF!,8,FALSE)))</f>
        <v/>
      </c>
      <c r="J18" s="53"/>
      <c r="K18" s="53" t="str">
        <f t="shared" ref="K18:K28" si="0">IF(H18="","",IF(H18="carton",(J18*26.5/25),IF(H18="drum",J18*28/25,IF(H18="bale",0))))</f>
        <v/>
      </c>
      <c r="L18" s="85"/>
      <c r="M18" s="74"/>
      <c r="N18" s="49"/>
      <c r="O18" s="70"/>
      <c r="P18" s="48"/>
      <c r="Q18" s="73"/>
      <c r="R18" s="63" t="e">
        <f>(O18-P18)/P18+Q18</f>
        <v>#DIV/0!</v>
      </c>
      <c r="S18" s="50" t="e">
        <f>O18*J18*R18</f>
        <v>#DIV/0!</v>
      </c>
      <c r="T18" s="50">
        <f>O18*J18</f>
        <v>0</v>
      </c>
    </row>
    <row r="19" spans="1:22" s="50" customFormat="1" ht="30" customHeight="1" x14ac:dyDescent="0.3">
      <c r="A19" s="68"/>
      <c r="B19" s="290" t="str">
        <f>IF(A19:A30="","",IF(L$4="sys/",VLOOKUP(A19:A30,#REF!,4,FALSE)))</f>
        <v/>
      </c>
      <c r="C19" s="291"/>
      <c r="D19" s="292"/>
      <c r="E19" s="293" t="str">
        <f>IF(A19:A30="","",IF(L$4="sys/",VLOOKUP(A19:A30,#REF!,7,FALSE)))</f>
        <v/>
      </c>
      <c r="F19" s="294"/>
      <c r="G19" s="53" t="str">
        <f>IF(A19:A30="","",IF(L$4="sys/",VLOOKUP(A19:A30,#REF!,9,FALSE)))</f>
        <v/>
      </c>
      <c r="H19" s="53"/>
      <c r="I19" s="53" t="str">
        <f>IF(A19:A30="","",IF(L$4="sys/",VLOOKUP(A19:A30,#REF!,8,FALSE)))</f>
        <v/>
      </c>
      <c r="J19" s="53"/>
      <c r="K19" s="53" t="str">
        <f t="shared" si="0"/>
        <v/>
      </c>
      <c r="L19" s="85"/>
      <c r="M19" s="74"/>
      <c r="N19" s="49"/>
      <c r="O19" s="70"/>
      <c r="P19" s="48"/>
      <c r="Q19" s="73"/>
      <c r="R19" s="63" t="e">
        <f>(O19-P19)/P19+Q19</f>
        <v>#DIV/0!</v>
      </c>
      <c r="S19" s="50" t="e">
        <f>O19*J19*R19</f>
        <v>#DIV/0!</v>
      </c>
      <c r="T19" s="50">
        <f>O19*J19</f>
        <v>0</v>
      </c>
      <c r="V19" s="51"/>
    </row>
    <row r="20" spans="1:22" s="50" customFormat="1" ht="30" customHeight="1" x14ac:dyDescent="0.3">
      <c r="A20" s="68"/>
      <c r="B20" s="290" t="str">
        <f>IF(A20:A31="","",IF(L$4="sys/",VLOOKUP(A20:A31,#REF!,4,FALSE)))</f>
        <v/>
      </c>
      <c r="C20" s="291"/>
      <c r="D20" s="292"/>
      <c r="E20" s="293" t="str">
        <f>IF(A20:A31="","",IF(L$4="sys/",VLOOKUP(A20:A31,#REF!,7,FALSE)))</f>
        <v/>
      </c>
      <c r="F20" s="294"/>
      <c r="G20" s="53" t="str">
        <f>IF(A20:A31="","",IF(L$4="sys/",VLOOKUP(A20:A31,#REF!,9,FALSE)))</f>
        <v/>
      </c>
      <c r="H20" s="53"/>
      <c r="I20" s="53" t="str">
        <f>IF(A20:A31="","",IF(L$4="sys/",VLOOKUP(A20:A31,#REF!,8,FALSE)))</f>
        <v/>
      </c>
      <c r="J20" s="53"/>
      <c r="K20" s="53" t="str">
        <f t="shared" si="0"/>
        <v/>
      </c>
      <c r="L20" s="85"/>
      <c r="M20" s="74"/>
      <c r="N20" s="49"/>
      <c r="O20" s="70"/>
      <c r="P20" s="48"/>
      <c r="Q20" s="73"/>
      <c r="R20" s="63" t="e">
        <f>(O20-P20)/P20+Q20</f>
        <v>#DIV/0!</v>
      </c>
      <c r="S20" s="50" t="e">
        <f>O20*J20*R20</f>
        <v>#DIV/0!</v>
      </c>
      <c r="T20" s="50">
        <f>O20*J20</f>
        <v>0</v>
      </c>
    </row>
    <row r="21" spans="1:22" s="50" customFormat="1" ht="30" customHeight="1" x14ac:dyDescent="0.3">
      <c r="A21" s="68"/>
      <c r="B21" s="290" t="str">
        <f>IF(A21:A32="","",IF(L$4="sys/",VLOOKUP(A21:A32,#REF!,4,FALSE)))</f>
        <v/>
      </c>
      <c r="C21" s="291"/>
      <c r="D21" s="292"/>
      <c r="E21" s="293" t="str">
        <f>IF(A21:A32="","",IF(L$4="sys/",VLOOKUP(A21:A32,#REF!,7,FALSE)))</f>
        <v/>
      </c>
      <c r="F21" s="294"/>
      <c r="G21" s="53" t="str">
        <f>IF(A21:A32="","",IF(L$4="sys/",VLOOKUP(A21:A32,#REF!,9,FALSE)))</f>
        <v/>
      </c>
      <c r="H21" s="53"/>
      <c r="I21" s="53" t="str">
        <f>IF(A21:A32="","",IF(L$4="sys/",VLOOKUP(A21:A32,#REF!,8,FALSE)))</f>
        <v/>
      </c>
      <c r="J21" s="53"/>
      <c r="K21" s="53" t="str">
        <f t="shared" si="0"/>
        <v/>
      </c>
      <c r="L21" s="85"/>
      <c r="M21" s="74"/>
      <c r="N21" s="49"/>
      <c r="O21" s="70"/>
      <c r="P21" s="48"/>
      <c r="Q21" s="73"/>
      <c r="R21" s="63" t="e">
        <f>(#REF!-P21)/P21+Q21</f>
        <v>#REF!</v>
      </c>
      <c r="S21" s="50" t="e">
        <f>#REF!*#REF!*R21</f>
        <v>#REF!</v>
      </c>
      <c r="T21" s="50" t="e">
        <f>#REF!*#REF!</f>
        <v>#REF!</v>
      </c>
      <c r="V21" s="51"/>
    </row>
    <row r="22" spans="1:22" s="50" customFormat="1" ht="30" customHeight="1" x14ac:dyDescent="0.3">
      <c r="A22" s="68"/>
      <c r="B22" s="290" t="str">
        <f>IF(A22:A33="","",IF(L$4="sys/",VLOOKUP(A22:A33,#REF!,4,FALSE)))</f>
        <v/>
      </c>
      <c r="C22" s="291"/>
      <c r="D22" s="292"/>
      <c r="E22" s="293" t="str">
        <f>IF(A22:A33="","",IF(L$4="sys/",VLOOKUP(A22:A33,#REF!,7,FALSE)))</f>
        <v/>
      </c>
      <c r="F22" s="294"/>
      <c r="G22" s="53" t="str">
        <f>IF(A22:A33="","",IF(L$4="sys/",VLOOKUP(A22:A33,#REF!,9,FALSE)))</f>
        <v/>
      </c>
      <c r="H22" s="53"/>
      <c r="I22" s="53" t="str">
        <f>IF(A22:A33="","",IF(L$4="sys/",VLOOKUP(A22:A33,#REF!,8,FALSE)))</f>
        <v/>
      </c>
      <c r="J22" s="53"/>
      <c r="K22" s="53" t="str">
        <f t="shared" si="0"/>
        <v/>
      </c>
      <c r="L22" s="85"/>
      <c r="M22" s="74"/>
      <c r="N22" s="49"/>
      <c r="P22" s="48"/>
      <c r="Q22" s="73"/>
      <c r="R22" s="63" t="e">
        <f t="shared" ref="R22:R27" si="1">(O21-P22)/P22+Q22</f>
        <v>#DIV/0!</v>
      </c>
      <c r="S22" s="50" t="e">
        <f>O21*J21*R22</f>
        <v>#DIV/0!</v>
      </c>
      <c r="T22" s="50">
        <f>O21*J21</f>
        <v>0</v>
      </c>
      <c r="V22" s="51">
        <f>M38*5.5%</f>
        <v>25083.3</v>
      </c>
    </row>
    <row r="23" spans="1:22" s="50" customFormat="1" ht="30" customHeight="1" x14ac:dyDescent="0.3">
      <c r="A23" s="68"/>
      <c r="B23" s="290" t="str">
        <f>IF(A23:A34="","",IF(L$4="sys/",VLOOKUP(A23:A34,#REF!,4,FALSE)))</f>
        <v/>
      </c>
      <c r="C23" s="291"/>
      <c r="D23" s="292"/>
      <c r="E23" s="293" t="str">
        <f>IF(A23:A34="","",IF(L$4="sys/",VLOOKUP(A23:A34,#REF!,7,FALSE)))</f>
        <v/>
      </c>
      <c r="F23" s="294"/>
      <c r="G23" s="53" t="str">
        <f>IF(A23:A34="","",IF(L$4="sys/",VLOOKUP(A23:A34,#REF!,9,FALSE)))</f>
        <v/>
      </c>
      <c r="H23" s="53"/>
      <c r="I23" s="53" t="str">
        <f>IF(A23:A34="","",IF(L$4="sys/",VLOOKUP(A23:A34,#REF!,8,FALSE)))</f>
        <v/>
      </c>
      <c r="J23" s="53"/>
      <c r="K23" s="53" t="str">
        <f t="shared" si="0"/>
        <v/>
      </c>
      <c r="L23" s="85"/>
      <c r="M23" s="74"/>
      <c r="N23" s="49"/>
      <c r="Q23" s="73"/>
      <c r="R23" s="63" t="e">
        <f t="shared" si="1"/>
        <v>#DIV/0!</v>
      </c>
      <c r="S23" s="50" t="e">
        <f>O22*J22*R23</f>
        <v>#DIV/0!</v>
      </c>
      <c r="T23" s="50">
        <f>O22*J22</f>
        <v>0</v>
      </c>
      <c r="V23" s="51" t="e">
        <f>S29-V22</f>
        <v>#DIV/0!</v>
      </c>
    </row>
    <row r="24" spans="1:22" s="50" customFormat="1" ht="30" customHeight="1" x14ac:dyDescent="0.3">
      <c r="A24" s="68"/>
      <c r="B24" s="290" t="str">
        <f>IF(A24:A35="","",IF(L$4="sys/",VLOOKUP(A24:A35,#REF!,4,FALSE)))</f>
        <v/>
      </c>
      <c r="C24" s="291"/>
      <c r="D24" s="292"/>
      <c r="E24" s="293" t="str">
        <f>IF(A24:A35="","",IF(L$4="sys/",VLOOKUP(A24:A35,#REF!,7,FALSE)))</f>
        <v/>
      </c>
      <c r="F24" s="294"/>
      <c r="G24" s="53" t="str">
        <f>IF(A24:A35="","",IF(L$4="sys/",VLOOKUP(A24:A35,#REF!,9,FALSE)))</f>
        <v/>
      </c>
      <c r="H24" s="53"/>
      <c r="I24" s="53" t="str">
        <f>IF(A24:A35="","",IF(L$4="sys/",VLOOKUP(A24:A35,#REF!,8,FALSE)))</f>
        <v/>
      </c>
      <c r="J24" s="53"/>
      <c r="K24" s="53" t="str">
        <f t="shared" si="0"/>
        <v/>
      </c>
      <c r="L24" s="85"/>
      <c r="M24" s="74"/>
      <c r="N24" s="49"/>
      <c r="Q24" s="73"/>
      <c r="R24" s="63" t="e">
        <f t="shared" si="1"/>
        <v>#DIV/0!</v>
      </c>
      <c r="S24" s="50" t="e">
        <f>O23*J23*R24</f>
        <v>#DIV/0!</v>
      </c>
      <c r="T24" s="50">
        <f>O23*J23</f>
        <v>0</v>
      </c>
      <c r="V24" s="51"/>
    </row>
    <row r="25" spans="1:22" s="50" customFormat="1" ht="30" customHeight="1" x14ac:dyDescent="0.3">
      <c r="A25" s="68"/>
      <c r="B25" s="290" t="str">
        <f>IF(A25:A36="","",IF(L$4="sys/",VLOOKUP(A25:A36,#REF!,4,FALSE)))</f>
        <v/>
      </c>
      <c r="C25" s="291"/>
      <c r="D25" s="292"/>
      <c r="E25" s="293" t="str">
        <f>IF(A25:A36="","",IF(L$4="sys/",VLOOKUP(A25:A36,#REF!,7,FALSE)))</f>
        <v/>
      </c>
      <c r="F25" s="294"/>
      <c r="G25" s="53" t="str">
        <f>IF(A25:A36="","",IF(L$4="sys/",VLOOKUP(A25:A36,#REF!,9,FALSE)))</f>
        <v/>
      </c>
      <c r="H25" s="53"/>
      <c r="I25" s="53" t="str">
        <f>IF(A25:A36="","",IF(L$4="sys/",VLOOKUP(A25:A36,#REF!,8,FALSE)))</f>
        <v/>
      </c>
      <c r="J25" s="53"/>
      <c r="K25" s="53" t="str">
        <f t="shared" si="0"/>
        <v/>
      </c>
      <c r="L25" s="85"/>
      <c r="M25" s="74"/>
      <c r="N25" s="49"/>
      <c r="Q25" s="73"/>
      <c r="R25" s="63" t="e">
        <f t="shared" si="1"/>
        <v>#DIV/0!</v>
      </c>
      <c r="S25" s="50" t="e">
        <f>O24*J24*R25</f>
        <v>#DIV/0!</v>
      </c>
      <c r="T25" s="50">
        <f>O24*J24</f>
        <v>0</v>
      </c>
      <c r="V25" s="51"/>
    </row>
    <row r="26" spans="1:22" s="50" customFormat="1" ht="30" customHeight="1" x14ac:dyDescent="0.3">
      <c r="A26" s="68"/>
      <c r="B26" s="290" t="str">
        <f>IF(A26:A37="","",IF(L$4="sys/",VLOOKUP(A26:A37,#REF!,4,FALSE)))</f>
        <v/>
      </c>
      <c r="C26" s="291"/>
      <c r="D26" s="292"/>
      <c r="E26" s="293" t="str">
        <f>IF(A26:A37="","",IF(L$4="sys/",VLOOKUP(A26:A37,#REF!,7,FALSE)))</f>
        <v/>
      </c>
      <c r="F26" s="294"/>
      <c r="G26" s="53" t="str">
        <f>IF(A26:A37="","",IF(L$4="sys/",VLOOKUP(A26:A37,#REF!,9,FALSE)))</f>
        <v/>
      </c>
      <c r="H26" s="53"/>
      <c r="I26" s="53" t="str">
        <f>IF(A26:A37="","",IF(L$4="sys/",VLOOKUP(A26:A37,#REF!,8,FALSE)))</f>
        <v/>
      </c>
      <c r="J26" s="53"/>
      <c r="K26" s="53" t="str">
        <f t="shared" si="0"/>
        <v/>
      </c>
      <c r="L26" s="85"/>
      <c r="M26" s="74"/>
      <c r="N26" s="49"/>
      <c r="Q26" s="73"/>
      <c r="R26" s="63" t="e">
        <f t="shared" si="1"/>
        <v>#DIV/0!</v>
      </c>
      <c r="S26" s="50" t="e">
        <f>O25*J25*R26</f>
        <v>#DIV/0!</v>
      </c>
      <c r="V26" s="51"/>
    </row>
    <row r="27" spans="1:22" s="50" customFormat="1" ht="30" customHeight="1" x14ac:dyDescent="0.3">
      <c r="A27" s="68"/>
      <c r="B27" s="290" t="str">
        <f>IF(A27:A38="","",IF(L$4="sys/",VLOOKUP(A27:A38,#REF!,4,FALSE)))</f>
        <v/>
      </c>
      <c r="C27" s="291"/>
      <c r="D27" s="292"/>
      <c r="E27" s="293" t="str">
        <f>IF(A27:A38="","",IF(L$4="sys/",VLOOKUP(A27:A38,#REF!,7,FALSE)))</f>
        <v/>
      </c>
      <c r="F27" s="294"/>
      <c r="G27" s="53" t="str">
        <f>IF(A27:A38="","",IF(L$4="sys/",VLOOKUP(A27:A38,#REF!,9,FALSE)))</f>
        <v/>
      </c>
      <c r="H27" s="53"/>
      <c r="I27" s="53" t="str">
        <f>IF(A27:A38="","",IF(L$4="sys/",VLOOKUP(A27:A38,#REF!,8,FALSE)))</f>
        <v/>
      </c>
      <c r="J27" s="53"/>
      <c r="K27" s="53" t="str">
        <f t="shared" si="0"/>
        <v/>
      </c>
      <c r="L27" s="85"/>
      <c r="M27" s="74"/>
      <c r="N27" s="49"/>
      <c r="Q27" s="73"/>
      <c r="R27" s="63" t="e">
        <f t="shared" si="1"/>
        <v>#DIV/0!</v>
      </c>
      <c r="S27" s="50" t="e">
        <f>O26*J27*R27</f>
        <v>#DIV/0!</v>
      </c>
      <c r="V27" s="51"/>
    </row>
    <row r="28" spans="1:22" s="50" customFormat="1" ht="30" customHeight="1" x14ac:dyDescent="0.3">
      <c r="A28" s="68"/>
      <c r="B28" s="290" t="str">
        <f>IF(A28:A39="","",IF(L$4="sys/",VLOOKUP(A28:A39,#REF!,4,FALSE)))</f>
        <v/>
      </c>
      <c r="C28" s="291"/>
      <c r="D28" s="292"/>
      <c r="E28" s="293" t="str">
        <f>IF(A28:A39="","",IF(L$4="sys/",VLOOKUP(A28:A39,#REF!,7,FALSE)))</f>
        <v/>
      </c>
      <c r="F28" s="294"/>
      <c r="G28" s="53" t="str">
        <f>IF(A28:A39="","",IF(L$4="sys/",VLOOKUP(A28:A39,#REF!,9,FALSE)))</f>
        <v/>
      </c>
      <c r="H28" s="53"/>
      <c r="I28" s="53" t="str">
        <f>IF(A28:A39="","",IF(L$4="sys/",VLOOKUP(A28:A39,#REF!,8,FALSE)))</f>
        <v/>
      </c>
      <c r="J28" s="53"/>
      <c r="K28" s="53" t="str">
        <f t="shared" si="0"/>
        <v/>
      </c>
      <c r="L28" s="85"/>
      <c r="M28" s="74"/>
      <c r="N28" s="49"/>
      <c r="O28" s="76" t="s">
        <v>79</v>
      </c>
      <c r="R28" s="63"/>
      <c r="V28" s="51"/>
    </row>
    <row r="29" spans="1:22" ht="16.5" x14ac:dyDescent="0.3">
      <c r="A29" s="14" t="s">
        <v>5</v>
      </c>
      <c r="B29" s="7"/>
      <c r="C29" s="7"/>
      <c r="D29" s="7"/>
      <c r="E29" s="7"/>
      <c r="F29" s="7"/>
      <c r="G29" s="7"/>
      <c r="H29" s="7"/>
      <c r="I29" s="7"/>
      <c r="J29" s="25">
        <f>SUM(J17:J28)</f>
        <v>12000</v>
      </c>
      <c r="K29" s="25">
        <f>SUM(K17:K28)</f>
        <v>12720</v>
      </c>
      <c r="L29" s="25"/>
      <c r="M29" s="58">
        <f>SUM(M17:M28)</f>
        <v>446160</v>
      </c>
      <c r="P29" s="76"/>
      <c r="Q29" s="76"/>
      <c r="R29" s="76"/>
      <c r="S29" t="e">
        <f>SUM(S17:S28)</f>
        <v>#DIV/0!</v>
      </c>
      <c r="V29" s="47" t="e">
        <f>S29/M38</f>
        <v>#DIV/0!</v>
      </c>
    </row>
    <row r="30" spans="1:22" ht="21" x14ac:dyDescent="0.3">
      <c r="A30" s="286" t="s">
        <v>37</v>
      </c>
      <c r="B30" s="287"/>
      <c r="C30" s="271" t="s">
        <v>40</v>
      </c>
      <c r="D30" s="271"/>
      <c r="E30" s="6"/>
      <c r="F30" s="6"/>
      <c r="G30" s="6"/>
      <c r="H30" s="6"/>
      <c r="I30" s="6"/>
      <c r="J30" s="6"/>
      <c r="K30" s="295" t="s">
        <v>21</v>
      </c>
      <c r="L30" s="296"/>
      <c r="M30" s="57">
        <f>M29</f>
        <v>446160</v>
      </c>
      <c r="R30" s="46"/>
      <c r="V30" s="47"/>
    </row>
    <row r="31" spans="1:22" ht="18.75" x14ac:dyDescent="0.3">
      <c r="A31" s="286" t="s">
        <v>38</v>
      </c>
      <c r="B31" s="287"/>
      <c r="C31" s="271" t="s">
        <v>48</v>
      </c>
      <c r="D31" s="271"/>
      <c r="E31" s="6"/>
      <c r="F31" s="6"/>
      <c r="G31" s="6"/>
      <c r="H31" s="6"/>
      <c r="I31" s="6"/>
      <c r="J31" s="6"/>
      <c r="K31" s="288" t="s">
        <v>22</v>
      </c>
      <c r="L31" s="289"/>
      <c r="M31" s="56">
        <f>(R14*W13+S14*W14)*T14</f>
        <v>9900</v>
      </c>
      <c r="R31" s="47"/>
      <c r="V31" s="47"/>
    </row>
    <row r="32" spans="1:22" ht="16.5" customHeight="1" x14ac:dyDescent="0.3">
      <c r="A32" s="12" t="s">
        <v>46</v>
      </c>
      <c r="B32" s="6"/>
      <c r="C32" s="44" t="s">
        <v>28</v>
      </c>
      <c r="D32" s="6"/>
      <c r="E32" s="6"/>
      <c r="F32" s="6"/>
      <c r="G32" s="6"/>
      <c r="H32" s="6"/>
      <c r="I32" s="6"/>
      <c r="J32" s="6"/>
      <c r="K32" s="276" t="s">
        <v>26</v>
      </c>
      <c r="L32" s="277"/>
      <c r="M32" s="55">
        <v>0</v>
      </c>
      <c r="S32" s="69" t="s">
        <v>82</v>
      </c>
    </row>
    <row r="33" spans="1:19" ht="16.5" customHeight="1" x14ac:dyDescent="0.3">
      <c r="A33" s="15" t="str">
        <f>IF(B1=V1,X3,Y3)</f>
        <v>PAYEE:SINOCHEM TIANJIN CO., LTD</v>
      </c>
      <c r="B33" s="6"/>
      <c r="C33" s="6"/>
      <c r="D33" s="6"/>
      <c r="E33" s="6"/>
      <c r="F33" s="6"/>
      <c r="G33" s="6"/>
      <c r="H33" s="6"/>
      <c r="I33" s="6"/>
      <c r="J33" s="6"/>
      <c r="K33" s="276" t="s">
        <v>27</v>
      </c>
      <c r="L33" s="277"/>
      <c r="M33" s="55">
        <v>0</v>
      </c>
    </row>
    <row r="34" spans="1:19" ht="16.5" customHeight="1" x14ac:dyDescent="0.3">
      <c r="A34" s="16" t="s">
        <v>13</v>
      </c>
      <c r="B34" s="6"/>
      <c r="C34" s="6"/>
      <c r="D34" s="6"/>
      <c r="E34" s="6"/>
      <c r="F34" s="6"/>
      <c r="G34" s="6"/>
      <c r="H34" s="6"/>
      <c r="I34" s="6"/>
      <c r="J34" s="6"/>
      <c r="K34" s="6"/>
      <c r="L34" s="6"/>
      <c r="M34" s="55">
        <v>0</v>
      </c>
    </row>
    <row r="35" spans="1:19" ht="16.5" customHeight="1" x14ac:dyDescent="0.3">
      <c r="A35" s="16" t="s">
        <v>14</v>
      </c>
      <c r="B35" s="6"/>
      <c r="C35" s="6"/>
      <c r="D35" s="6"/>
      <c r="E35" s="6"/>
      <c r="F35" s="6"/>
      <c r="G35" s="6"/>
      <c r="H35" s="6"/>
      <c r="I35" s="6"/>
      <c r="J35" s="6"/>
      <c r="K35" s="6"/>
      <c r="L35" s="6"/>
      <c r="M35" s="55">
        <v>0</v>
      </c>
    </row>
    <row r="36" spans="1:19" ht="16.5" customHeight="1" x14ac:dyDescent="0.3">
      <c r="A36" s="16" t="s">
        <v>15</v>
      </c>
      <c r="B36" s="6"/>
      <c r="C36" s="6"/>
      <c r="D36" s="6"/>
      <c r="E36" s="6"/>
      <c r="F36" s="6"/>
      <c r="G36" s="6"/>
      <c r="H36" s="6"/>
      <c r="I36" s="6"/>
      <c r="J36" s="6"/>
      <c r="K36" s="6"/>
      <c r="L36" s="6"/>
      <c r="M36" s="55">
        <v>0</v>
      </c>
    </row>
    <row r="37" spans="1:19" ht="16.5" customHeight="1" x14ac:dyDescent="0.3">
      <c r="A37" s="16" t="s">
        <v>16</v>
      </c>
      <c r="B37" s="6"/>
      <c r="C37" s="6"/>
      <c r="D37" s="6"/>
      <c r="E37" s="6"/>
      <c r="F37" s="6"/>
      <c r="G37" s="6"/>
      <c r="H37" s="6"/>
      <c r="I37" s="6"/>
      <c r="J37" s="6"/>
      <c r="K37" s="6"/>
      <c r="L37" s="6"/>
      <c r="M37" s="55">
        <v>0</v>
      </c>
      <c r="O37" s="72">
        <v>426655.25</v>
      </c>
    </row>
    <row r="38" spans="1:19" ht="21.75" thickBot="1" x14ac:dyDescent="0.4">
      <c r="A38" s="16" t="str">
        <f>IF(B1=V1,X2,Y2)</f>
        <v>ACCOUNT NUMBER:10002000096220000016</v>
      </c>
      <c r="B38" s="1"/>
      <c r="C38" s="1"/>
      <c r="D38" s="1"/>
      <c r="E38" s="1"/>
      <c r="F38" s="1"/>
      <c r="G38" s="1"/>
      <c r="H38" s="1"/>
      <c r="I38" s="1"/>
      <c r="J38" s="1"/>
      <c r="K38" s="278" t="s">
        <v>25</v>
      </c>
      <c r="L38" s="279"/>
      <c r="M38" s="54">
        <f>SUM(M30+M31)</f>
        <v>456060</v>
      </c>
    </row>
    <row r="39" spans="1:19" ht="18.75" thickBot="1" x14ac:dyDescent="0.35">
      <c r="A39" s="280" t="s">
        <v>83</v>
      </c>
      <c r="B39" s="281"/>
      <c r="C39" s="282" t="e">
        <f ca="1">SpellNumber(M38)</f>
        <v>#NAME?</v>
      </c>
      <c r="D39" s="282"/>
      <c r="E39" s="282"/>
      <c r="F39" s="282"/>
      <c r="G39" s="282"/>
      <c r="H39" s="282"/>
      <c r="I39" s="282"/>
      <c r="J39" s="283"/>
      <c r="K39" s="1"/>
      <c r="L39" s="1"/>
      <c r="M39" s="45" t="s">
        <v>51</v>
      </c>
    </row>
    <row r="40" spans="1:19" x14ac:dyDescent="0.3">
      <c r="A40" s="284"/>
      <c r="B40" s="285"/>
      <c r="C40" s="285"/>
      <c r="D40" s="285"/>
      <c r="E40" s="285"/>
      <c r="F40" s="285"/>
      <c r="G40" s="285"/>
      <c r="H40" s="285"/>
      <c r="I40" s="285"/>
      <c r="J40" s="285"/>
      <c r="K40" s="1"/>
      <c r="L40" s="1"/>
      <c r="M40" s="17"/>
    </row>
    <row r="41" spans="1:19" ht="16.5" x14ac:dyDescent="0.3">
      <c r="A41" s="18" t="s">
        <v>8</v>
      </c>
      <c r="B41" s="5"/>
      <c r="C41" s="5"/>
      <c r="D41" s="5"/>
      <c r="E41" s="5"/>
      <c r="F41" s="5"/>
      <c r="G41" s="5"/>
      <c r="H41" s="5"/>
      <c r="I41" s="5"/>
      <c r="J41" s="5"/>
      <c r="K41" s="5"/>
      <c r="L41" s="5"/>
      <c r="M41" s="19"/>
    </row>
    <row r="42" spans="1:19" x14ac:dyDescent="0.3">
      <c r="A42" s="28" t="s">
        <v>4</v>
      </c>
      <c r="B42" s="27"/>
      <c r="C42" s="27" t="s">
        <v>28</v>
      </c>
      <c r="D42" s="27"/>
      <c r="E42" s="27"/>
      <c r="F42" s="27"/>
      <c r="G42" s="1"/>
      <c r="H42" s="1"/>
      <c r="I42" s="1"/>
      <c r="J42" s="1"/>
      <c r="K42" s="1"/>
      <c r="L42" s="1"/>
      <c r="M42" s="17"/>
    </row>
    <row r="43" spans="1:19" x14ac:dyDescent="0.3">
      <c r="A43" s="28" t="s">
        <v>2</v>
      </c>
      <c r="B43" s="27"/>
      <c r="C43" s="27" t="s">
        <v>28</v>
      </c>
      <c r="D43" s="27"/>
      <c r="E43" s="27"/>
      <c r="F43" s="27"/>
      <c r="G43" s="1"/>
      <c r="H43" s="1"/>
      <c r="I43" s="1"/>
      <c r="J43" s="1"/>
      <c r="K43" s="1"/>
      <c r="L43" s="1"/>
      <c r="M43" s="17"/>
      <c r="S43" t="e">
        <f ca="1">SpellNumber(M38)</f>
        <v>#NAME?</v>
      </c>
    </row>
    <row r="44" spans="1:19" x14ac:dyDescent="0.3">
      <c r="A44" s="28" t="s">
        <v>3</v>
      </c>
      <c r="B44" s="27"/>
      <c r="C44" s="27" t="s">
        <v>29</v>
      </c>
      <c r="D44" s="27"/>
      <c r="E44" s="27"/>
      <c r="F44" s="27"/>
      <c r="G44" s="1"/>
      <c r="H44" s="1"/>
      <c r="I44" s="1"/>
      <c r="J44" s="1"/>
      <c r="K44" s="1"/>
      <c r="L44" s="1"/>
      <c r="M44" s="17"/>
    </row>
    <row r="45" spans="1:19" x14ac:dyDescent="0.3">
      <c r="A45" s="28"/>
      <c r="B45" s="27"/>
      <c r="C45" s="27"/>
      <c r="D45" s="27"/>
      <c r="E45" s="27"/>
      <c r="F45" s="27"/>
      <c r="G45" s="1"/>
      <c r="H45" s="1"/>
      <c r="I45" s="1"/>
      <c r="J45" s="1"/>
      <c r="K45" s="1"/>
      <c r="L45" s="1"/>
      <c r="M45" s="17"/>
      <c r="R45" t="e">
        <f ca="1">SpellNumber(M38)</f>
        <v>#NAME?</v>
      </c>
    </row>
    <row r="46" spans="1:19" x14ac:dyDescent="0.3">
      <c r="A46" s="29" t="s">
        <v>6</v>
      </c>
      <c r="B46" s="26"/>
      <c r="C46" s="271" t="s">
        <v>24</v>
      </c>
      <c r="D46" s="271"/>
      <c r="E46" s="271"/>
      <c r="F46" s="271"/>
      <c r="G46" s="2"/>
      <c r="H46" s="2"/>
      <c r="I46" s="2"/>
      <c r="J46" s="2"/>
      <c r="K46" s="2"/>
      <c r="L46" s="2"/>
      <c r="M46" s="17"/>
      <c r="R46" t="e">
        <f ca="1">SpellNumber(M38)</f>
        <v>#NAME?</v>
      </c>
    </row>
    <row r="47" spans="1:19" x14ac:dyDescent="0.3">
      <c r="A47" s="20"/>
      <c r="B47" s="2"/>
      <c r="C47" s="2"/>
      <c r="D47" s="2"/>
      <c r="E47" s="2"/>
      <c r="F47" s="2"/>
      <c r="G47" s="2"/>
      <c r="H47" s="2"/>
      <c r="I47" s="2"/>
      <c r="J47" s="2"/>
      <c r="K47" s="2"/>
      <c r="L47" s="2"/>
      <c r="M47" s="17"/>
      <c r="R47" t="e">
        <f ca="1">SpellNumber(M38)</f>
        <v>#NAME?</v>
      </c>
    </row>
    <row r="48" spans="1:19" ht="15" customHeight="1" x14ac:dyDescent="0.3">
      <c r="A48" s="272" t="s">
        <v>30</v>
      </c>
      <c r="B48" s="273"/>
      <c r="C48" s="273"/>
      <c r="D48" s="273"/>
      <c r="E48" s="273"/>
      <c r="F48" s="273"/>
      <c r="G48" s="273"/>
      <c r="H48" s="78"/>
      <c r="I48" s="2"/>
      <c r="J48" s="2"/>
      <c r="K48" s="2"/>
      <c r="L48" s="2"/>
      <c r="M48" s="17"/>
    </row>
    <row r="49" spans="1:13" x14ac:dyDescent="0.3">
      <c r="A49" s="272"/>
      <c r="B49" s="273"/>
      <c r="C49" s="273"/>
      <c r="D49" s="273"/>
      <c r="E49" s="273"/>
      <c r="F49" s="273"/>
      <c r="G49" s="273"/>
      <c r="H49" s="78"/>
      <c r="I49" s="2"/>
      <c r="J49" s="2"/>
      <c r="K49" s="2"/>
      <c r="L49" s="2"/>
      <c r="M49" s="17"/>
    </row>
    <row r="50" spans="1:13" x14ac:dyDescent="0.3">
      <c r="A50" s="272"/>
      <c r="B50" s="273"/>
      <c r="C50" s="273"/>
      <c r="D50" s="273"/>
      <c r="E50" s="273"/>
      <c r="F50" s="273"/>
      <c r="G50" s="273"/>
      <c r="H50" s="78"/>
      <c r="I50" s="2"/>
      <c r="J50" s="2"/>
      <c r="K50" s="2"/>
      <c r="L50" s="2"/>
      <c r="M50" s="17"/>
    </row>
    <row r="51" spans="1:13" x14ac:dyDescent="0.3">
      <c r="A51" s="21" t="s">
        <v>92</v>
      </c>
      <c r="B51" s="4"/>
      <c r="C51" s="2"/>
      <c r="D51" s="2"/>
      <c r="E51" s="2"/>
      <c r="F51" s="2"/>
      <c r="G51" s="2"/>
      <c r="H51" s="2"/>
      <c r="I51" s="2"/>
      <c r="J51" s="2"/>
      <c r="K51" s="2"/>
      <c r="L51" s="2"/>
      <c r="M51" s="17"/>
    </row>
    <row r="52" spans="1:13" ht="15.75" thickBot="1" x14ac:dyDescent="0.35">
      <c r="A52" s="274" t="str">
        <f>IF(B1=V1,X1,Y1)</f>
        <v>SINOCHEM TIANJIN CO., LTD</v>
      </c>
      <c r="B52" s="275">
        <f>IF(C51=W51,Y51,Z51)</f>
        <v>0</v>
      </c>
      <c r="C52" s="275">
        <f>IF(D51=X51,Z51,AA51)</f>
        <v>0</v>
      </c>
      <c r="D52" s="275">
        <f>IF(E51=Y51,AA51,AB51)</f>
        <v>0</v>
      </c>
      <c r="E52" s="24"/>
      <c r="F52" s="22"/>
      <c r="G52" s="22"/>
      <c r="H52" s="22"/>
      <c r="I52" s="22"/>
      <c r="J52" s="22"/>
      <c r="K52" s="22"/>
      <c r="L52" s="22"/>
      <c r="M52" s="23"/>
    </row>
  </sheetData>
  <mergeCells count="53">
    <mergeCell ref="K10:L10"/>
    <mergeCell ref="K11:L11"/>
    <mergeCell ref="K12:L12"/>
    <mergeCell ref="K13:L13"/>
    <mergeCell ref="B1:F1"/>
    <mergeCell ref="L2:M2"/>
    <mergeCell ref="L3:M3"/>
    <mergeCell ref="J5:K5"/>
    <mergeCell ref="L5:M5"/>
    <mergeCell ref="O13:P14"/>
    <mergeCell ref="K14:L14"/>
    <mergeCell ref="B16:D16"/>
    <mergeCell ref="E16:F16"/>
    <mergeCell ref="B17:D17"/>
    <mergeCell ref="E17:F17"/>
    <mergeCell ref="K15:L15"/>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A31:B31"/>
    <mergeCell ref="C31:D31"/>
    <mergeCell ref="K31:L31"/>
    <mergeCell ref="B25:D25"/>
    <mergeCell ref="E25:F25"/>
    <mergeCell ref="B26:D26"/>
    <mergeCell ref="E26:F26"/>
    <mergeCell ref="B27:D27"/>
    <mergeCell ref="E27:F27"/>
    <mergeCell ref="B28:D28"/>
    <mergeCell ref="E28:F28"/>
    <mergeCell ref="A30:B30"/>
    <mergeCell ref="C30:D30"/>
    <mergeCell ref="K30:L30"/>
    <mergeCell ref="C46:F46"/>
    <mergeCell ref="A48:G50"/>
    <mergeCell ref="A52:D52"/>
    <mergeCell ref="K32:L32"/>
    <mergeCell ref="K33:L33"/>
    <mergeCell ref="K38:L38"/>
    <mergeCell ref="A39:B39"/>
    <mergeCell ref="C39:J39"/>
    <mergeCell ref="A40:J40"/>
  </mergeCells>
  <dataValidations count="2">
    <dataValidation type="list" allowBlank="1" showInputMessage="1" showErrorMessage="1" sqref="H17:H28" xr:uid="{00000000-0002-0000-1200-000000000000}">
      <formula1>$P$5:$P$7</formula1>
    </dataValidation>
    <dataValidation type="list" allowBlank="1" showInputMessage="1" showErrorMessage="1" sqref="B1:F1" xr:uid="{00000000-0002-0000-1200-000001000000}">
      <formula1>$V$1:$W$1</formula1>
    </dataValidation>
  </dataValidations>
  <printOptions horizontalCentered="1"/>
  <pageMargins left="0.51181102362204722" right="0.51181102362204722" top="0.51181102362204722" bottom="0.51181102362204722" header="0.51181102362204722" footer="0.23622047244094491"/>
  <pageSetup scale="65"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3"/>
  <dimension ref="A1:AK58"/>
  <sheetViews>
    <sheetView showGridLines="0" zoomScale="93" zoomScaleNormal="93" workbookViewId="0">
      <selection activeCell="H24" sqref="H24"/>
    </sheetView>
  </sheetViews>
  <sheetFormatPr defaultRowHeight="15" x14ac:dyDescent="0.3"/>
  <cols>
    <col min="1" max="3" width="11.42578125" customWidth="1"/>
    <col min="4" max="4" width="21.140625" customWidth="1"/>
    <col min="5" max="5" width="11.42578125" customWidth="1"/>
    <col min="6" max="6" width="17" customWidth="1"/>
    <col min="7" max="7" width="8.140625" bestFit="1" customWidth="1"/>
    <col min="8" max="8" width="8.140625" customWidth="1"/>
    <col min="9" max="9" width="9.42578125" hidden="1" customWidth="1"/>
    <col min="10" max="11" width="11.42578125" customWidth="1"/>
    <col min="12" max="12" width="11.42578125" hidden="1" customWidth="1"/>
    <col min="13" max="14" width="11.42578125" customWidth="1"/>
    <col min="15" max="15" width="16.85546875" customWidth="1"/>
    <col min="16" max="16" width="10.85546875" bestFit="1" customWidth="1"/>
    <col min="17" max="17" width="9.85546875" bestFit="1" customWidth="1"/>
    <col min="20" max="20" width="11.85546875" bestFit="1" customWidth="1"/>
    <col min="35" max="35" width="40.140625" bestFit="1" customWidth="1"/>
  </cols>
  <sheetData>
    <row r="1" spans="1:37" ht="78" customHeight="1" x14ac:dyDescent="0.45">
      <c r="A1" s="183"/>
      <c r="B1" s="204" t="s">
        <v>108</v>
      </c>
      <c r="C1" s="204"/>
      <c r="D1" s="204"/>
      <c r="E1" s="204"/>
      <c r="F1" s="204"/>
      <c r="G1" s="119"/>
      <c r="H1" s="119"/>
      <c r="I1" s="119"/>
      <c r="J1" s="119"/>
      <c r="K1" s="119"/>
      <c r="L1" s="119"/>
      <c r="M1" s="119"/>
      <c r="N1" s="119"/>
      <c r="O1" s="120" t="s">
        <v>7</v>
      </c>
      <c r="X1" s="87" t="s">
        <v>74</v>
      </c>
      <c r="Y1" s="88" t="s">
        <v>108</v>
      </c>
      <c r="Z1" s="38" t="s">
        <v>69</v>
      </c>
      <c r="AA1" s="38" t="s">
        <v>109</v>
      </c>
      <c r="AI1" s="115" t="e">
        <f>IF(#REF!="","",#REF!)</f>
        <v>#REF!</v>
      </c>
    </row>
    <row r="2" spans="1:37" ht="16.5" x14ac:dyDescent="0.3">
      <c r="A2" s="121" t="str">
        <f>IF(B1=X1,Z1,AA1)</f>
        <v>SINOCHEM TIANJIN CO., LTD</v>
      </c>
      <c r="B2" s="122"/>
      <c r="C2" s="122"/>
      <c r="D2" s="123"/>
      <c r="E2" s="123"/>
      <c r="F2" s="123"/>
      <c r="G2" s="123"/>
      <c r="H2" s="123"/>
      <c r="I2" s="123"/>
      <c r="J2" s="123"/>
      <c r="K2" s="124"/>
      <c r="L2" s="124"/>
      <c r="M2" s="125" t="s">
        <v>45</v>
      </c>
      <c r="N2" s="205" t="s">
        <v>97</v>
      </c>
      <c r="O2" s="206"/>
      <c r="Z2" s="89" t="s">
        <v>144</v>
      </c>
      <c r="AA2" s="89" t="s">
        <v>111</v>
      </c>
      <c r="AI2" s="115" t="e">
        <f>IF(#REF!="","",#REF!)</f>
        <v>#REF!</v>
      </c>
    </row>
    <row r="3" spans="1:37" ht="16.5" x14ac:dyDescent="0.3">
      <c r="A3" s="126" t="s">
        <v>11</v>
      </c>
      <c r="B3" s="127"/>
      <c r="C3" s="127"/>
      <c r="D3" s="128"/>
      <c r="E3" s="128"/>
      <c r="F3" s="128"/>
      <c r="G3" s="128"/>
      <c r="H3" s="128"/>
      <c r="I3" s="128"/>
      <c r="J3" s="128"/>
      <c r="K3" s="129"/>
      <c r="L3" s="129"/>
      <c r="M3" s="125" t="s">
        <v>44</v>
      </c>
      <c r="N3" s="205" t="s">
        <v>146</v>
      </c>
      <c r="O3" s="206"/>
      <c r="Z3" s="38" t="s">
        <v>112</v>
      </c>
      <c r="AA3" s="38" t="s">
        <v>113</v>
      </c>
      <c r="AI3" s="115" t="e">
        <f>IF(#REF!="","",#REF!)</f>
        <v>#REF!</v>
      </c>
      <c r="AK3" t="e">
        <f>IF(AI1=0,"",AI1)</f>
        <v>#REF!</v>
      </c>
    </row>
    <row r="4" spans="1:37" ht="15" customHeight="1" x14ac:dyDescent="0.3">
      <c r="A4" s="126" t="s">
        <v>12</v>
      </c>
      <c r="B4" s="127"/>
      <c r="C4" s="127"/>
      <c r="D4" s="123"/>
      <c r="E4" s="123"/>
      <c r="F4" s="123"/>
      <c r="G4" s="123"/>
      <c r="H4" s="123"/>
      <c r="I4" s="123"/>
      <c r="J4" s="123"/>
      <c r="K4" s="124"/>
      <c r="L4" s="124"/>
      <c r="M4" s="125" t="s">
        <v>47</v>
      </c>
      <c r="N4" s="130" t="s">
        <v>98</v>
      </c>
      <c r="O4" s="186" t="s">
        <v>107</v>
      </c>
      <c r="AI4" s="115" t="e">
        <f>IF(#REF!="","",#REF!)</f>
        <v>#REF!</v>
      </c>
    </row>
    <row r="5" spans="1:37" ht="16.5" x14ac:dyDescent="0.3">
      <c r="A5" s="126" t="s">
        <v>10</v>
      </c>
      <c r="B5" s="127"/>
      <c r="C5" s="127"/>
      <c r="D5" s="123"/>
      <c r="E5" s="123"/>
      <c r="F5" s="123"/>
      <c r="G5" s="123"/>
      <c r="H5" s="123"/>
      <c r="I5" s="123"/>
      <c r="J5" s="123"/>
      <c r="K5" s="207"/>
      <c r="L5" s="207"/>
      <c r="M5" s="207"/>
      <c r="N5" s="208"/>
      <c r="O5" s="209"/>
      <c r="AI5" s="115" t="e">
        <f>IF(#REF!="","",#REF!)</f>
        <v>#REF!</v>
      </c>
    </row>
    <row r="6" spans="1:37" ht="16.5" x14ac:dyDescent="0.3">
      <c r="A6" s="126" t="s">
        <v>9</v>
      </c>
      <c r="B6" s="127"/>
      <c r="C6" s="127"/>
      <c r="D6" s="123"/>
      <c r="E6" s="123"/>
      <c r="F6" s="123"/>
      <c r="G6" s="123"/>
      <c r="H6" s="123"/>
      <c r="I6" s="123"/>
      <c r="J6" s="123"/>
      <c r="K6" s="123"/>
      <c r="L6" s="123"/>
      <c r="M6" s="123"/>
      <c r="N6" s="123"/>
      <c r="O6" s="131"/>
      <c r="AI6" s="115" t="e">
        <f>IF(#REF!="","",#REF!)</f>
        <v>#REF!</v>
      </c>
    </row>
    <row r="7" spans="1:37" ht="16.5" x14ac:dyDescent="0.3">
      <c r="A7" s="132"/>
      <c r="B7" s="133"/>
      <c r="C7" s="133"/>
      <c r="D7" s="123"/>
      <c r="E7" s="123"/>
      <c r="F7" s="123"/>
      <c r="G7" s="123"/>
      <c r="H7" s="123"/>
      <c r="I7" s="123"/>
      <c r="J7" s="123"/>
      <c r="K7" s="123"/>
      <c r="L7" s="123"/>
      <c r="M7" s="123"/>
      <c r="N7" s="123"/>
      <c r="O7" s="131"/>
      <c r="S7" s="51"/>
      <c r="T7" s="50"/>
      <c r="AI7" s="115" t="e">
        <f>IF(#REF!="","",#REF!)</f>
        <v>#REF!</v>
      </c>
    </row>
    <row r="8" spans="1:37" ht="17.25" thickBot="1" x14ac:dyDescent="0.35">
      <c r="A8" s="132"/>
      <c r="B8" s="133"/>
      <c r="C8" s="133"/>
      <c r="D8" s="133"/>
      <c r="E8" s="133"/>
      <c r="F8" s="133"/>
      <c r="G8" s="133"/>
      <c r="H8" s="133"/>
      <c r="I8" s="133"/>
      <c r="J8" s="133"/>
      <c r="K8" s="133"/>
      <c r="L8" s="133"/>
      <c r="M8" s="133"/>
      <c r="N8" s="133"/>
      <c r="O8" s="131"/>
      <c r="S8" s="51"/>
      <c r="T8" s="50"/>
      <c r="AI8" s="115" t="e">
        <f>IF(#REF!="","",#REF!)</f>
        <v>#REF!</v>
      </c>
    </row>
    <row r="9" spans="1:37" ht="17.25" thickBot="1" x14ac:dyDescent="0.35">
      <c r="A9" s="192" t="s">
        <v>1</v>
      </c>
      <c r="B9" s="193"/>
      <c r="C9" s="193"/>
      <c r="D9" s="193"/>
      <c r="E9" s="193"/>
      <c r="F9" s="193"/>
      <c r="G9" s="193"/>
      <c r="H9" s="193"/>
      <c r="I9" s="193"/>
      <c r="J9" s="193"/>
      <c r="K9" s="193"/>
      <c r="L9" s="193"/>
      <c r="M9" s="193"/>
      <c r="N9" s="193" t="s">
        <v>31</v>
      </c>
      <c r="O9" s="194"/>
      <c r="AI9" s="115" t="e">
        <f>IF(#REF!="","",#REF!)</f>
        <v>#REF!</v>
      </c>
    </row>
    <row r="10" spans="1:37" ht="16.5" x14ac:dyDescent="0.3">
      <c r="A10" s="210" t="s">
        <v>88</v>
      </c>
      <c r="B10" s="211"/>
      <c r="C10" s="211"/>
      <c r="D10" s="211"/>
      <c r="E10" s="123"/>
      <c r="F10" s="123"/>
      <c r="G10" s="123"/>
      <c r="H10" s="123"/>
      <c r="I10" s="123"/>
      <c r="J10" s="123"/>
      <c r="K10" s="123"/>
      <c r="L10" s="123"/>
      <c r="M10" s="212" t="s">
        <v>32</v>
      </c>
      <c r="N10" s="212"/>
      <c r="O10" s="134" t="s">
        <v>34</v>
      </c>
      <c r="AI10" s="115" t="e">
        <f>IF(#REF!="","",#REF!)</f>
        <v>#REF!</v>
      </c>
    </row>
    <row r="11" spans="1:37" ht="16.5" customHeight="1" x14ac:dyDescent="0.3">
      <c r="A11" s="213" t="s">
        <v>90</v>
      </c>
      <c r="B11" s="214"/>
      <c r="C11" s="214" t="e">
        <f>VLOOKUP(A10,#REF!,2,FALSE)</f>
        <v>#REF!</v>
      </c>
      <c r="D11" s="214"/>
      <c r="E11" s="123"/>
      <c r="F11" s="123"/>
      <c r="G11" s="123"/>
      <c r="H11" s="123"/>
      <c r="I11" s="123"/>
      <c r="J11" s="123"/>
      <c r="K11" s="123"/>
      <c r="L11" s="123"/>
      <c r="M11" s="212" t="s">
        <v>42</v>
      </c>
      <c r="N11" s="212"/>
      <c r="O11" s="134" t="s">
        <v>43</v>
      </c>
      <c r="AF11" t="s">
        <v>105</v>
      </c>
      <c r="AI11" s="115" t="e">
        <f>IF(#REF!="","",#REF!)</f>
        <v>#REF!</v>
      </c>
    </row>
    <row r="12" spans="1:37" ht="16.5" customHeight="1" x14ac:dyDescent="0.3">
      <c r="A12" s="126" t="e">
        <f>VLOOKUP(A10,#REF!,3,FALSE)</f>
        <v>#REF!</v>
      </c>
      <c r="B12" s="127"/>
      <c r="C12" s="127"/>
      <c r="D12" s="123"/>
      <c r="E12" s="123"/>
      <c r="F12" s="123"/>
      <c r="G12" s="123"/>
      <c r="H12" s="123"/>
      <c r="I12" s="123"/>
      <c r="J12" s="123"/>
      <c r="K12" s="123"/>
      <c r="L12" s="123"/>
      <c r="M12" s="212" t="s">
        <v>41</v>
      </c>
      <c r="N12" s="212"/>
      <c r="O12" s="135">
        <f xml:space="preserve"> M35</f>
        <v>16040</v>
      </c>
      <c r="AF12" t="s">
        <v>106</v>
      </c>
      <c r="AI12" s="115" t="e">
        <f>IF(#REF!="","",#REF!)</f>
        <v>#REF!</v>
      </c>
    </row>
    <row r="13" spans="1:37" ht="16.5" customHeight="1" x14ac:dyDescent="0.3">
      <c r="A13" s="126" t="s">
        <v>70</v>
      </c>
      <c r="B13" s="127" t="e">
        <f>VLOOKUP(A10,#REF!,4,FALSE)</f>
        <v>#REF!</v>
      </c>
      <c r="C13" s="127"/>
      <c r="D13" s="123"/>
      <c r="E13" s="123"/>
      <c r="F13" s="123"/>
      <c r="G13" s="123"/>
      <c r="H13" s="123"/>
      <c r="I13" s="123"/>
      <c r="J13" s="123"/>
      <c r="K13" s="123"/>
      <c r="L13" s="123"/>
      <c r="M13" s="212" t="s">
        <v>35</v>
      </c>
      <c r="N13" s="212"/>
      <c r="O13" s="136" t="str">
        <f>IF(I35=1,"Cartons",IF(I35=2,"Drums","Cartons &amp; Drums"))</f>
        <v>Drums</v>
      </c>
      <c r="Q13" s="215"/>
      <c r="R13" s="215"/>
      <c r="S13" s="195"/>
      <c r="T13" s="64"/>
      <c r="U13" s="65"/>
      <c r="AI13" s="115" t="e">
        <f>IF(#REF!="","",#REF!)</f>
        <v>#REF!</v>
      </c>
    </row>
    <row r="14" spans="1:37" ht="16.5" customHeight="1" x14ac:dyDescent="0.3">
      <c r="A14" s="137" t="s">
        <v>71</v>
      </c>
      <c r="B14" s="138" t="e">
        <f>VLOOKUP(A10,#REF!,5,FALSE)</f>
        <v>#REF!</v>
      </c>
      <c r="C14" s="127"/>
      <c r="D14" s="123"/>
      <c r="E14" s="123"/>
      <c r="F14" s="123"/>
      <c r="G14" s="123"/>
      <c r="H14" s="123"/>
      <c r="I14" s="123"/>
      <c r="J14" s="123"/>
      <c r="K14" s="123"/>
      <c r="L14" s="123"/>
      <c r="M14" s="212" t="s">
        <v>33</v>
      </c>
      <c r="N14" s="212"/>
      <c r="O14" s="136">
        <f>SUM(L17:L34)</f>
        <v>680</v>
      </c>
      <c r="Q14" s="215"/>
      <c r="R14" s="215"/>
      <c r="S14" s="195"/>
      <c r="T14" s="195"/>
      <c r="U14" s="66"/>
      <c r="AI14" s="115" t="e">
        <f>IF(#REF!="","",#REF!)</f>
        <v>#REF!</v>
      </c>
    </row>
    <row r="15" spans="1:37" ht="17.25" thickBot="1" x14ac:dyDescent="0.35">
      <c r="A15" s="132"/>
      <c r="B15" s="133"/>
      <c r="C15" s="138"/>
      <c r="D15" s="133"/>
      <c r="E15" s="133"/>
      <c r="F15" s="133"/>
      <c r="G15" s="133"/>
      <c r="H15" s="133"/>
      <c r="I15" s="133"/>
      <c r="J15" s="133"/>
      <c r="K15" s="133"/>
      <c r="L15" s="133"/>
      <c r="M15" s="212"/>
      <c r="N15" s="212"/>
      <c r="O15" s="134"/>
      <c r="AI15" s="115" t="e">
        <f>IF(#REF!="","",#REF!)</f>
        <v>#REF!</v>
      </c>
    </row>
    <row r="16" spans="1:37" ht="48.75" customHeight="1" thickBot="1" x14ac:dyDescent="0.35">
      <c r="A16" s="179" t="s">
        <v>17</v>
      </c>
      <c r="B16" s="216" t="s">
        <v>0</v>
      </c>
      <c r="C16" s="216"/>
      <c r="D16" s="216"/>
      <c r="E16" s="216" t="s">
        <v>39</v>
      </c>
      <c r="F16" s="216"/>
      <c r="G16" s="139" t="s">
        <v>18</v>
      </c>
      <c r="H16" s="139" t="s">
        <v>104</v>
      </c>
      <c r="I16" s="139"/>
      <c r="J16" s="140" t="s">
        <v>19</v>
      </c>
      <c r="K16" s="140" t="s">
        <v>20</v>
      </c>
      <c r="L16" s="139" t="s">
        <v>126</v>
      </c>
      <c r="M16" s="140" t="s">
        <v>143</v>
      </c>
      <c r="N16" s="139" t="s">
        <v>49</v>
      </c>
      <c r="O16" s="141" t="s">
        <v>50</v>
      </c>
      <c r="Q16" s="32" t="s">
        <v>72</v>
      </c>
      <c r="R16" s="32" t="s">
        <v>81</v>
      </c>
      <c r="S16" s="32" t="s">
        <v>94</v>
      </c>
      <c r="T16" s="32" t="s">
        <v>93</v>
      </c>
      <c r="U16" s="32" t="s">
        <v>73</v>
      </c>
      <c r="AA16" s="114"/>
      <c r="AI16" s="115" t="e">
        <f>IF(#REF!="","",#REF!)</f>
        <v>#REF!</v>
      </c>
    </row>
    <row r="17" spans="1:35" s="50" customFormat="1" ht="30" customHeight="1" thickBot="1" x14ac:dyDescent="0.35">
      <c r="A17" s="180">
        <v>218</v>
      </c>
      <c r="B17" s="217" t="e">
        <f>IF(A17:A28="","",IF(N$4="sys/",VLOOKUP(A17:A28,#REF!,4,FALSE),VLOOKUP(A17:A28,#REF!,4,FALSE)))</f>
        <v>#REF!</v>
      </c>
      <c r="C17" s="218"/>
      <c r="D17" s="219"/>
      <c r="E17" s="220" t="e">
        <f>IF(A17:A28="","",IF(N$4="sys/",VLOOKUP(A17:A28,#REF!,7,FALSE),VLOOKUP(A17:A28,#REF!,7,FALSE)))</f>
        <v>#REF!</v>
      </c>
      <c r="F17" s="221"/>
      <c r="G17" s="117" t="e">
        <f>IF(A17:A28="","",IF(P$4="sys/",VLOOKUP(A17:A28,#REF!,9,FALSE),VLOOKUP(A17:A28,#REF!,9,FALSE)))</f>
        <v>#REF!</v>
      </c>
      <c r="H17" s="187" t="s">
        <v>106</v>
      </c>
      <c r="I17" s="117">
        <f>IF(H17="","",IF(H17="carton",1,2))</f>
        <v>2</v>
      </c>
      <c r="J17" s="142" t="e">
        <f>IF(A17:A28="","",IF(N$4="sys/",VLOOKUP(A17:A28,#REF!,8,FALSE),VLOOKUP(A17:A28,#REF!,8,FALSE)))</f>
        <v>#REF!</v>
      </c>
      <c r="K17" s="187">
        <v>2500</v>
      </c>
      <c r="L17" s="143">
        <f t="shared" ref="L17:L34" si="0">IF(A17=142,K17/10,IF(A17=8064,K17/20,K17/25))</f>
        <v>100</v>
      </c>
      <c r="M17" s="178">
        <f t="shared" ref="M17:M34" si="1">IF(A17="","",IF(H17="carton",(IF(A17=8064,(K17*21.5/20),(K17*26.5/25))),IF(H17="drum",IF(A17=142,(K17*13/10),K17*28/25))))</f>
        <v>2800</v>
      </c>
      <c r="N17" s="142" t="str">
        <f t="shared" ref="N17:N34" si="2">IF(Q17="","",FIXED(Q17-(O$37/K$35),2,1))</f>
        <v>31.66</v>
      </c>
      <c r="O17" s="144">
        <f>IF(K17="","",K17*N17)</f>
        <v>79150</v>
      </c>
      <c r="P17" s="49"/>
      <c r="Q17" s="181">
        <v>32.369999999999997</v>
      </c>
      <c r="R17" s="181"/>
      <c r="S17" s="73"/>
      <c r="T17" s="63"/>
      <c r="AA17" s="114"/>
      <c r="AI17" s="115" t="e">
        <f>IF(#REF!="","",#REF!)</f>
        <v>#REF!</v>
      </c>
    </row>
    <row r="18" spans="1:35" s="50" customFormat="1" ht="30" customHeight="1" thickBot="1" x14ac:dyDescent="0.35">
      <c r="A18" s="184">
        <v>216</v>
      </c>
      <c r="B18" s="222" t="e">
        <f>IF(A18:A35="","",IF(N$4="sys/",VLOOKUP(A18:A35,#REF!,4,FALSE),VLOOKUP(A18:A35,#REF!,4,FALSE)))</f>
        <v>#REF!</v>
      </c>
      <c r="C18" s="223"/>
      <c r="D18" s="224"/>
      <c r="E18" s="225" t="e">
        <f>IF(A18:A35="","",IF(N$4="sys/",VLOOKUP(A18:A35,#REF!,7,FALSE),VLOOKUP(A18:A35,#REF!,7,FALSE)))</f>
        <v>#REF!</v>
      </c>
      <c r="F18" s="226"/>
      <c r="G18" s="118" t="e">
        <f>IF(A18:A35="","",IF(P$4="sys/",VLOOKUP(A18:A35,#REF!,9,FALSE),VLOOKUP(A18:A35,#REF!,9,FALSE)))</f>
        <v>#REF!</v>
      </c>
      <c r="H18" s="188" t="s">
        <v>106</v>
      </c>
      <c r="I18" s="118">
        <f t="shared" ref="I18:I34" si="3">IF(H18="","",IF(H18="carton",1,2))</f>
        <v>2</v>
      </c>
      <c r="J18" s="145" t="e">
        <f>IF(A18:A35="","",IF(N$4="sys/",VLOOKUP(A18:A35,#REF!,8,FALSE),VLOOKUP(A18:A35,#REF!,8,FALSE)))</f>
        <v>#REF!</v>
      </c>
      <c r="K18" s="188">
        <v>2000</v>
      </c>
      <c r="L18" s="143">
        <f t="shared" si="0"/>
        <v>80</v>
      </c>
      <c r="M18" s="145">
        <f t="shared" si="1"/>
        <v>2240</v>
      </c>
      <c r="N18" s="145" t="str">
        <f t="shared" si="2"/>
        <v>20.63</v>
      </c>
      <c r="O18" s="146">
        <f t="shared" ref="O18:O34" si="4">IF(K18="","",K18*N18)</f>
        <v>41260</v>
      </c>
      <c r="P18" s="49"/>
      <c r="Q18" s="181">
        <v>21.34</v>
      </c>
      <c r="R18" s="181"/>
      <c r="S18" s="73"/>
      <c r="T18" s="63"/>
      <c r="AA18" s="114"/>
      <c r="AI18" s="115" t="e">
        <f>IF(#REF!="","",#REF!)</f>
        <v>#REF!</v>
      </c>
    </row>
    <row r="19" spans="1:35" s="50" customFormat="1" ht="30" customHeight="1" thickBot="1" x14ac:dyDescent="0.35">
      <c r="A19" s="184">
        <v>201</v>
      </c>
      <c r="B19" s="222" t="e">
        <f>IF(A19:A36="","",IF(N$4="sys/",VLOOKUP(A19:A36,#REF!,4,FALSE),VLOOKUP(A19:A36,#REF!,4,FALSE)))</f>
        <v>#REF!</v>
      </c>
      <c r="C19" s="223"/>
      <c r="D19" s="224"/>
      <c r="E19" s="225" t="e">
        <f>IF(A19:A36="","",IF(N$4="sys/",VLOOKUP(A19:A36,#REF!,7,FALSE),VLOOKUP(A19:A36,#REF!,7,FALSE)))</f>
        <v>#REF!</v>
      </c>
      <c r="F19" s="226"/>
      <c r="G19" s="118" t="e">
        <f>IF(A19:A36="","",IF(P$4="sys/",VLOOKUP(A19:A36,#REF!,9,FALSE),VLOOKUP(A19:A36,#REF!,9,FALSE)))</f>
        <v>#REF!</v>
      </c>
      <c r="H19" s="188" t="s">
        <v>106</v>
      </c>
      <c r="I19" s="118">
        <f t="shared" si="3"/>
        <v>2</v>
      </c>
      <c r="J19" s="145" t="e">
        <f>IF(A19:A36="","",IF(N$4="sys/",VLOOKUP(A19:A36,#REF!,8,FALSE),VLOOKUP(A19:A36,#REF!,8,FALSE)))</f>
        <v>#REF!</v>
      </c>
      <c r="K19" s="188">
        <v>2000</v>
      </c>
      <c r="L19" s="143">
        <f t="shared" si="0"/>
        <v>80</v>
      </c>
      <c r="M19" s="145">
        <f t="shared" si="1"/>
        <v>2240</v>
      </c>
      <c r="N19" s="145" t="str">
        <f t="shared" si="2"/>
        <v>18.87</v>
      </c>
      <c r="O19" s="146">
        <f t="shared" si="4"/>
        <v>37740</v>
      </c>
      <c r="P19" s="49"/>
      <c r="Q19" s="181">
        <v>19.579999999999998</v>
      </c>
      <c r="R19" s="181"/>
      <c r="S19" s="73"/>
      <c r="T19" s="63"/>
      <c r="AA19" s="114"/>
      <c r="AI19" s="115" t="e">
        <f>IF(#REF!="","",#REF!)</f>
        <v>#REF!</v>
      </c>
    </row>
    <row r="20" spans="1:35" s="50" customFormat="1" ht="30" customHeight="1" thickBot="1" x14ac:dyDescent="0.35">
      <c r="A20" s="184">
        <v>203</v>
      </c>
      <c r="B20" s="222" t="e">
        <f>IF(A20:A37="","",IF(N$4="sys/",VLOOKUP(A20:A37,#REF!,4,FALSE),VLOOKUP(A20:A37,#REF!,4,FALSE)))</f>
        <v>#REF!</v>
      </c>
      <c r="C20" s="223"/>
      <c r="D20" s="224"/>
      <c r="E20" s="225" t="e">
        <f>IF(A20:A37="","",IF(N$4="sys/",VLOOKUP(A20:A37,#REF!,7,FALSE),VLOOKUP(A20:A37,#REF!,7,FALSE)))</f>
        <v>#REF!</v>
      </c>
      <c r="F20" s="226"/>
      <c r="G20" s="118" t="e">
        <f>IF(A20:A37="","",IF(P$4="sys/",VLOOKUP(A20:A37,#REF!,9,FALSE),VLOOKUP(A20:A37,#REF!,9,FALSE)))</f>
        <v>#REF!</v>
      </c>
      <c r="H20" s="188" t="s">
        <v>106</v>
      </c>
      <c r="I20" s="118">
        <f t="shared" si="3"/>
        <v>2</v>
      </c>
      <c r="J20" s="145" t="e">
        <f>IF(A20:A37="","",IF(N$4="sys/",VLOOKUP(A20:A37,#REF!,8,FALSE),VLOOKUP(A20:A37,#REF!,8,FALSE)))</f>
        <v>#REF!</v>
      </c>
      <c r="K20" s="188">
        <v>1000</v>
      </c>
      <c r="L20" s="143">
        <f t="shared" si="0"/>
        <v>40</v>
      </c>
      <c r="M20" s="145">
        <f t="shared" si="1"/>
        <v>1120</v>
      </c>
      <c r="N20" s="145" t="str">
        <f t="shared" si="2"/>
        <v>27.46</v>
      </c>
      <c r="O20" s="146">
        <f t="shared" si="4"/>
        <v>27460</v>
      </c>
      <c r="P20" s="49"/>
      <c r="Q20" s="181">
        <v>28.17</v>
      </c>
      <c r="R20" s="181"/>
      <c r="S20" s="73"/>
      <c r="T20" s="63"/>
      <c r="AA20" s="114"/>
      <c r="AI20" s="115" t="e">
        <f>IF(#REF!="","",#REF!)</f>
        <v>#REF!</v>
      </c>
    </row>
    <row r="21" spans="1:35" s="50" customFormat="1" ht="30" customHeight="1" thickBot="1" x14ac:dyDescent="0.35">
      <c r="A21" s="184">
        <v>206</v>
      </c>
      <c r="B21" s="222" t="e">
        <f>IF(A21:A38="","",IF(N$4="sys/",VLOOKUP(A21:A38,#REF!,4,FALSE),VLOOKUP(A21:A38,#REF!,4,FALSE)))</f>
        <v>#REF!</v>
      </c>
      <c r="C21" s="223"/>
      <c r="D21" s="224"/>
      <c r="E21" s="225" t="e">
        <f>IF(A21:A38="","",IF(N$4="sys/",VLOOKUP(A21:A38,#REF!,7,FALSE),VLOOKUP(A21:A38,#REF!,7,FALSE)))</f>
        <v>#REF!</v>
      </c>
      <c r="F21" s="226"/>
      <c r="G21" s="118" t="e">
        <f>IF(A21:A38="","",IF(P$4="sys/",VLOOKUP(A21:A38,#REF!,9,FALSE),VLOOKUP(A21:A38,#REF!,9,FALSE)))</f>
        <v>#REF!</v>
      </c>
      <c r="H21" s="188" t="s">
        <v>106</v>
      </c>
      <c r="I21" s="118">
        <f t="shared" si="3"/>
        <v>2</v>
      </c>
      <c r="J21" s="145" t="e">
        <f>IF(A21:A38="","",IF(N$4="sys/",VLOOKUP(A21:A38,#REF!,8,FALSE),VLOOKUP(A21:A38,#REF!,8,FALSE)))</f>
        <v>#REF!</v>
      </c>
      <c r="K21" s="188">
        <v>3500</v>
      </c>
      <c r="L21" s="143">
        <f t="shared" si="0"/>
        <v>140</v>
      </c>
      <c r="M21" s="145">
        <f t="shared" si="1"/>
        <v>3920</v>
      </c>
      <c r="N21" s="145" t="str">
        <f t="shared" si="2"/>
        <v>44.18</v>
      </c>
      <c r="O21" s="146">
        <f t="shared" si="4"/>
        <v>154630</v>
      </c>
      <c r="P21" s="49"/>
      <c r="Q21" s="182">
        <v>44.89</v>
      </c>
      <c r="R21" s="182"/>
      <c r="S21" s="73"/>
      <c r="T21" s="63"/>
      <c r="AA21" s="114"/>
      <c r="AI21" s="115" t="e">
        <f>IF(#REF!="","",#REF!)</f>
        <v>#REF!</v>
      </c>
    </row>
    <row r="22" spans="1:35" s="50" customFormat="1" ht="30" customHeight="1" thickBot="1" x14ac:dyDescent="0.35">
      <c r="A22" s="184">
        <v>228</v>
      </c>
      <c r="B22" s="222" t="e">
        <f>IF(A22:A39="","",IF(N$4="sys/",VLOOKUP(A22:A39,#REF!,4,FALSE),VLOOKUP(A22:A39,#REF!,4,FALSE)))</f>
        <v>#REF!</v>
      </c>
      <c r="C22" s="223"/>
      <c r="D22" s="224"/>
      <c r="E22" s="225" t="e">
        <f>IF(A22:A39="","",IF(N$4="sys/",VLOOKUP(A22:A39,#REF!,7,FALSE),VLOOKUP(A22:A39,#REF!,7,FALSE)))</f>
        <v>#REF!</v>
      </c>
      <c r="F22" s="226"/>
      <c r="G22" s="118" t="e">
        <f>IF(A22:A39="","",IF(P$4="sys/",VLOOKUP(A22:A39,#REF!,9,FALSE),VLOOKUP(A22:A39,#REF!,9,FALSE)))</f>
        <v>#REF!</v>
      </c>
      <c r="H22" s="188" t="s">
        <v>106</v>
      </c>
      <c r="I22" s="118">
        <f t="shared" si="3"/>
        <v>2</v>
      </c>
      <c r="J22" s="145" t="e">
        <f>IF(A22:A39="","",IF(N$4="sys/",VLOOKUP(A22:A39,#REF!,8,FALSE),VLOOKUP(A22:A39,#REF!,8,FALSE)))</f>
        <v>#REF!</v>
      </c>
      <c r="K22" s="188">
        <v>1000</v>
      </c>
      <c r="L22" s="143">
        <f t="shared" si="0"/>
        <v>40</v>
      </c>
      <c r="M22" s="145">
        <f t="shared" si="1"/>
        <v>1120</v>
      </c>
      <c r="N22" s="145" t="str">
        <f t="shared" si="2"/>
        <v>52.48</v>
      </c>
      <c r="O22" s="146">
        <f t="shared" si="4"/>
        <v>52480</v>
      </c>
      <c r="P22" s="49"/>
      <c r="Q22" s="196">
        <v>53.19</v>
      </c>
      <c r="R22" s="189"/>
      <c r="S22" s="73"/>
      <c r="T22" s="71"/>
      <c r="AA22" s="114"/>
      <c r="AI22" s="115" t="e">
        <f>IF(#REF!="","",#REF!)</f>
        <v>#REF!</v>
      </c>
    </row>
    <row r="23" spans="1:35" s="50" customFormat="1" ht="30" customHeight="1" thickBot="1" x14ac:dyDescent="0.35">
      <c r="A23" s="184">
        <v>142</v>
      </c>
      <c r="B23" s="222" t="e">
        <f>IF(A23:A40="","",IF(N$4="sys/",VLOOKUP(A23:A40,#REF!,4,FALSE),VLOOKUP(A23:A40,#REF!,4,FALSE)))</f>
        <v>#REF!</v>
      </c>
      <c r="C23" s="223"/>
      <c r="D23" s="224"/>
      <c r="E23" s="225" t="e">
        <f>IF(A23:A40="","",IF(N$4="sys/",VLOOKUP(A23:A40,#REF!,7,FALSE),VLOOKUP(A23:A40,#REF!,7,FALSE)))</f>
        <v>#REF!</v>
      </c>
      <c r="F23" s="226"/>
      <c r="G23" s="118" t="e">
        <f>IF(A23:A40="","",IF(P$4="sys/",VLOOKUP(A23:A40,#REF!,9,FALSE),VLOOKUP(A23:A40,#REF!,9,FALSE)))</f>
        <v>#REF!</v>
      </c>
      <c r="H23" s="188" t="s">
        <v>106</v>
      </c>
      <c r="I23" s="118">
        <f t="shared" si="3"/>
        <v>2</v>
      </c>
      <c r="J23" s="145" t="e">
        <f>IF(A23:A40="","",IF(N$4="sys/",VLOOKUP(A23:A40,#REF!,8,FALSE),VLOOKUP(A23:A40,#REF!,8,FALSE)))</f>
        <v>#REF!</v>
      </c>
      <c r="K23" s="188">
        <v>2000</v>
      </c>
      <c r="L23" s="143">
        <f t="shared" si="0"/>
        <v>200</v>
      </c>
      <c r="M23" s="145">
        <f t="shared" si="1"/>
        <v>2600</v>
      </c>
      <c r="N23" s="145" t="str">
        <f t="shared" si="2"/>
        <v>45.03</v>
      </c>
      <c r="O23" s="146">
        <f t="shared" si="4"/>
        <v>90060</v>
      </c>
      <c r="P23" s="49"/>
      <c r="Q23" s="189">
        <v>45.74</v>
      </c>
      <c r="R23" s="189"/>
      <c r="S23" s="73"/>
      <c r="T23" s="71"/>
      <c r="AI23" s="115" t="e">
        <f>IF(#REF!="","",#REF!)</f>
        <v>#REF!</v>
      </c>
    </row>
    <row r="24" spans="1:35" s="50" customFormat="1" ht="30" customHeight="1" thickBot="1" x14ac:dyDescent="0.35">
      <c r="A24" s="184"/>
      <c r="B24" s="222" t="str">
        <f>IF(A24:A41="","",IF(N$4="sys/",VLOOKUP(A24:A41,#REF!,4,FALSE),VLOOKUP(A24:A41,#REF!,4,FALSE)))</f>
        <v/>
      </c>
      <c r="C24" s="223"/>
      <c r="D24" s="224"/>
      <c r="E24" s="225" t="str">
        <f>IF(A24:A41="","",IF(N$4="sys/",VLOOKUP(A24:A41,#REF!,7,FALSE),VLOOKUP(A24:A41,#REF!,7,FALSE)))</f>
        <v/>
      </c>
      <c r="F24" s="226"/>
      <c r="G24" s="118" t="str">
        <f>IF(A24:A41="","",IF(P$4="sys/",VLOOKUP(A24:A41,#REF!,9,FALSE),VLOOKUP(A24:A41,#REF!,9,FALSE)))</f>
        <v/>
      </c>
      <c r="H24" s="188"/>
      <c r="I24" s="118" t="str">
        <f t="shared" si="3"/>
        <v/>
      </c>
      <c r="J24" s="145" t="str">
        <f>IF(A24:A41="","",IF(N$4="sys/",VLOOKUP(A24:A41,#REF!,8,FALSE),VLOOKUP(A24:A41,#REF!,8,FALSE)))</f>
        <v/>
      </c>
      <c r="K24" s="188"/>
      <c r="L24" s="143">
        <f t="shared" si="0"/>
        <v>0</v>
      </c>
      <c r="M24" s="145" t="str">
        <f t="shared" si="1"/>
        <v/>
      </c>
      <c r="N24" s="145" t="str">
        <f t="shared" si="2"/>
        <v/>
      </c>
      <c r="O24" s="146" t="str">
        <f t="shared" si="4"/>
        <v/>
      </c>
      <c r="P24" s="49"/>
      <c r="Q24" s="189"/>
      <c r="R24" s="189"/>
      <c r="S24" s="73"/>
      <c r="T24" s="71"/>
      <c r="AI24" s="115" t="e">
        <f>IF(#REF!="","",#REF!)</f>
        <v>#REF!</v>
      </c>
    </row>
    <row r="25" spans="1:35" s="50" customFormat="1" ht="30" customHeight="1" thickBot="1" x14ac:dyDescent="0.35">
      <c r="A25" s="184"/>
      <c r="B25" s="222" t="str">
        <f>IF(A25:A42="","",IF(N$4="sys/",VLOOKUP(A25:A42,#REF!,4,FALSE),VLOOKUP(A25:A42,#REF!,4,FALSE)))</f>
        <v/>
      </c>
      <c r="C25" s="223"/>
      <c r="D25" s="224"/>
      <c r="E25" s="225" t="str">
        <f>IF(A25:A42="","",IF(N$4="sys/",VLOOKUP(A25:A42,#REF!,7,FALSE),VLOOKUP(A25:A42,#REF!,7,FALSE)))</f>
        <v/>
      </c>
      <c r="F25" s="226"/>
      <c r="G25" s="118" t="str">
        <f>IF(A25:A42="","",IF(P$4="sys/",VLOOKUP(A25:A42,#REF!,9,FALSE),VLOOKUP(A25:A42,#REF!,9,FALSE)))</f>
        <v/>
      </c>
      <c r="H25" s="188"/>
      <c r="I25" s="118" t="str">
        <f t="shared" si="3"/>
        <v/>
      </c>
      <c r="J25" s="145" t="str">
        <f>IF(A25:A42="","",IF(N$4="sys/",VLOOKUP(A25:A42,#REF!,8,FALSE),VLOOKUP(A25:A42,#REF!,8,FALSE)))</f>
        <v/>
      </c>
      <c r="K25" s="188"/>
      <c r="L25" s="143">
        <f t="shared" si="0"/>
        <v>0</v>
      </c>
      <c r="M25" s="145" t="str">
        <f t="shared" si="1"/>
        <v/>
      </c>
      <c r="N25" s="145" t="str">
        <f t="shared" si="2"/>
        <v/>
      </c>
      <c r="O25" s="146" t="str">
        <f t="shared" si="4"/>
        <v/>
      </c>
      <c r="P25" s="49"/>
      <c r="Q25" s="189"/>
      <c r="R25" s="189"/>
      <c r="S25" s="73"/>
      <c r="U25" s="50">
        <f t="shared" ref="U25:U30" si="5">Q25*K25*T25</f>
        <v>0</v>
      </c>
      <c r="AI25" s="115" t="e">
        <f>IF(#REF!="","",#REF!)</f>
        <v>#REF!</v>
      </c>
    </row>
    <row r="26" spans="1:35" s="50" customFormat="1" ht="30.75" customHeight="1" thickBot="1" x14ac:dyDescent="0.35">
      <c r="A26" s="184"/>
      <c r="B26" s="222" t="str">
        <f>IF(A26:A43="","",IF(N$4="sys/",VLOOKUP(A26:A43,#REF!,4,FALSE),VLOOKUP(A26:A43,#REF!,4,FALSE)))</f>
        <v/>
      </c>
      <c r="C26" s="223"/>
      <c r="D26" s="224"/>
      <c r="E26" s="225" t="str">
        <f>IF(A26:A43="","",IF(N$4="sys/",VLOOKUP(A26:A43,#REF!,7,FALSE),VLOOKUP(A26:A43,#REF!,7,FALSE)))</f>
        <v/>
      </c>
      <c r="F26" s="226"/>
      <c r="G26" s="118" t="str">
        <f>IF(A26:A43="","",IF(P$4="sys/",VLOOKUP(A26:A43,#REF!,9,FALSE),VLOOKUP(A26:A43,#REF!,9,FALSE)))</f>
        <v/>
      </c>
      <c r="H26" s="188"/>
      <c r="I26" s="118" t="str">
        <f t="shared" si="3"/>
        <v/>
      </c>
      <c r="J26" s="145" t="str">
        <f>IF(A26:A43="","",IF(N$4="sys/",VLOOKUP(A26:A43,#REF!,8,FALSE),VLOOKUP(A26:A43,#REF!,8,FALSE)))</f>
        <v/>
      </c>
      <c r="K26" s="188"/>
      <c r="L26" s="143">
        <f t="shared" si="0"/>
        <v>0</v>
      </c>
      <c r="M26" s="145" t="str">
        <f t="shared" si="1"/>
        <v/>
      </c>
      <c r="N26" s="145" t="str">
        <f t="shared" si="2"/>
        <v/>
      </c>
      <c r="O26" s="146" t="str">
        <f t="shared" si="4"/>
        <v/>
      </c>
      <c r="P26" s="49"/>
      <c r="Q26" s="189"/>
      <c r="R26" s="189"/>
      <c r="S26" s="73"/>
      <c r="U26" s="50">
        <f t="shared" si="5"/>
        <v>0</v>
      </c>
      <c r="AI26" s="115" t="e">
        <f>IF(#REF!="","",#REF!)</f>
        <v>#REF!</v>
      </c>
    </row>
    <row r="27" spans="1:35" s="50" customFormat="1" ht="30" customHeight="1" thickBot="1" x14ac:dyDescent="0.35">
      <c r="A27" s="184"/>
      <c r="B27" s="222" t="str">
        <f>IF(A27:A44="","",IF(N$4="sys/",VLOOKUP(A27:A44,#REF!,4,FALSE),VLOOKUP(A27:A44,#REF!,4,FALSE)))</f>
        <v/>
      </c>
      <c r="C27" s="223"/>
      <c r="D27" s="224"/>
      <c r="E27" s="225" t="str">
        <f>IF(A27:A44="","",IF(N$4="sys/",VLOOKUP(A27:A44,#REF!,7,FALSE),VLOOKUP(A27:A44,#REF!,7,FALSE)))</f>
        <v/>
      </c>
      <c r="F27" s="226"/>
      <c r="G27" s="118" t="str">
        <f>IF(A27:A44="","",IF(P$4="sys/",VLOOKUP(A27:A44,#REF!,9,FALSE),VLOOKUP(A27:A44,#REF!,9,FALSE)))</f>
        <v/>
      </c>
      <c r="H27" s="188"/>
      <c r="I27" s="118" t="str">
        <f t="shared" si="3"/>
        <v/>
      </c>
      <c r="J27" s="145" t="str">
        <f>IF(A27:A44="","",IF(N$4="sys/",VLOOKUP(A27:A44,#REF!,8,FALSE),VLOOKUP(A27:A44,#REF!,8,FALSE)))</f>
        <v/>
      </c>
      <c r="K27" s="188"/>
      <c r="L27" s="143">
        <f t="shared" si="0"/>
        <v>0</v>
      </c>
      <c r="M27" s="145" t="str">
        <f t="shared" si="1"/>
        <v/>
      </c>
      <c r="N27" s="145" t="str">
        <f t="shared" si="2"/>
        <v/>
      </c>
      <c r="O27" s="146" t="str">
        <f t="shared" si="4"/>
        <v/>
      </c>
      <c r="P27" s="49"/>
      <c r="Q27" s="189"/>
      <c r="R27" s="189"/>
      <c r="S27" s="73"/>
      <c r="U27" s="50">
        <f t="shared" si="5"/>
        <v>0</v>
      </c>
      <c r="AI27" s="115" t="e">
        <f>IF(#REF!="","",#REF!)</f>
        <v>#REF!</v>
      </c>
    </row>
    <row r="28" spans="1:35" s="50" customFormat="1" ht="30" customHeight="1" thickBot="1" x14ac:dyDescent="0.35">
      <c r="A28" s="184"/>
      <c r="B28" s="222" t="str">
        <f>IF(A28:A45="","",IF(N$4="sys/",VLOOKUP(A28:A45,#REF!,4,FALSE),VLOOKUP(A28:A45,#REF!,4,FALSE)))</f>
        <v/>
      </c>
      <c r="C28" s="223"/>
      <c r="D28" s="224"/>
      <c r="E28" s="225" t="str">
        <f>IF(A28:A45="","",IF(N$4="sys/",VLOOKUP(A28:A45,#REF!,7,FALSE),VLOOKUP(A28:A45,#REF!,7,FALSE)))</f>
        <v/>
      </c>
      <c r="F28" s="226"/>
      <c r="G28" s="118" t="str">
        <f>IF(A28:A45="","",IF(P$4="sys/",VLOOKUP(A28:A45,#REF!,9,FALSE),VLOOKUP(A28:A45,#REF!,9,FALSE)))</f>
        <v/>
      </c>
      <c r="H28" s="188"/>
      <c r="I28" s="118" t="str">
        <f t="shared" si="3"/>
        <v/>
      </c>
      <c r="J28" s="145" t="str">
        <f>IF(A28:A45="","",IF(N$4="sys/",VLOOKUP(A28:A45,#REF!,8,FALSE),VLOOKUP(A28:A45,#REF!,8,FALSE)))</f>
        <v/>
      </c>
      <c r="K28" s="188"/>
      <c r="L28" s="143">
        <f t="shared" si="0"/>
        <v>0</v>
      </c>
      <c r="M28" s="145" t="str">
        <f t="shared" si="1"/>
        <v/>
      </c>
      <c r="N28" s="145" t="str">
        <f t="shared" si="2"/>
        <v/>
      </c>
      <c r="O28" s="146" t="str">
        <f t="shared" si="4"/>
        <v/>
      </c>
      <c r="P28" s="49"/>
      <c r="Q28" s="190"/>
      <c r="R28" s="190"/>
      <c r="S28" s="73"/>
      <c r="T28" s="63"/>
      <c r="U28" s="50">
        <f t="shared" si="5"/>
        <v>0</v>
      </c>
    </row>
    <row r="29" spans="1:35" s="50" customFormat="1" ht="30" customHeight="1" thickBot="1" x14ac:dyDescent="0.35">
      <c r="A29" s="184"/>
      <c r="B29" s="222" t="str">
        <f>IF(A29:A46="","",IF(N$4="sys/",VLOOKUP(A29:A46,#REF!,4,FALSE),VLOOKUP(A29:A46,#REF!,4,FALSE)))</f>
        <v/>
      </c>
      <c r="C29" s="223"/>
      <c r="D29" s="224"/>
      <c r="E29" s="225" t="str">
        <f>IF(A29:A46="","",IF(N$4="sys/",VLOOKUP(A29:A46,#REF!,7,FALSE),VLOOKUP(A29:A46,#REF!,7,FALSE)))</f>
        <v/>
      </c>
      <c r="F29" s="226"/>
      <c r="G29" s="118" t="str">
        <f>IF(A29:A46="","",IF(P$4="sys/",VLOOKUP(A29:A46,#REF!,9,FALSE),VLOOKUP(A29:A46,#REF!,9,FALSE)))</f>
        <v/>
      </c>
      <c r="H29" s="188"/>
      <c r="I29" s="118" t="str">
        <f t="shared" si="3"/>
        <v/>
      </c>
      <c r="J29" s="145" t="str">
        <f>IF(A29:A46="","",IF(N$4="sys/",VLOOKUP(A29:A46,#REF!,8,FALSE),VLOOKUP(A29:A46,#REF!,8,FALSE)))</f>
        <v/>
      </c>
      <c r="K29" s="188"/>
      <c r="L29" s="143">
        <f t="shared" si="0"/>
        <v>0</v>
      </c>
      <c r="M29" s="145" t="str">
        <f t="shared" si="1"/>
        <v/>
      </c>
      <c r="N29" s="145" t="str">
        <f t="shared" si="2"/>
        <v/>
      </c>
      <c r="O29" s="146" t="str">
        <f t="shared" si="4"/>
        <v/>
      </c>
      <c r="P29" s="49"/>
      <c r="Q29" s="190"/>
      <c r="R29" s="190"/>
      <c r="S29" s="73"/>
      <c r="T29" s="63"/>
      <c r="U29" s="50">
        <f t="shared" si="5"/>
        <v>0</v>
      </c>
    </row>
    <row r="30" spans="1:35" s="50" customFormat="1" ht="30" customHeight="1" thickBot="1" x14ac:dyDescent="0.35">
      <c r="A30" s="184"/>
      <c r="B30" s="222" t="str">
        <f>IF(A30:A47="","",IF(N$4="sys/",VLOOKUP(A30:A47,#REF!,4,FALSE),VLOOKUP(A30:A47,#REF!,4,FALSE)))</f>
        <v/>
      </c>
      <c r="C30" s="223"/>
      <c r="D30" s="224"/>
      <c r="E30" s="225" t="str">
        <f>IF(A30:A47="","",IF(N$4="sys/",VLOOKUP(A30:A47,#REF!,7,FALSE),VLOOKUP(A30:A47,#REF!,7,FALSE)))</f>
        <v/>
      </c>
      <c r="F30" s="226"/>
      <c r="G30" s="118" t="str">
        <f>IF(A30:A47="","",IF(P$4="sys/",VLOOKUP(A30:A47,#REF!,9,FALSE),VLOOKUP(A30:A47,#REF!,9,FALSE)))</f>
        <v/>
      </c>
      <c r="H30" s="188"/>
      <c r="I30" s="118" t="str">
        <f t="shared" si="3"/>
        <v/>
      </c>
      <c r="J30" s="145" t="str">
        <f>IF(A30:A47="","",IF(N$4="sys/",VLOOKUP(A30:A47,#REF!,8,FALSE),VLOOKUP(A30:A47,#REF!,8,FALSE)))</f>
        <v/>
      </c>
      <c r="K30" s="188"/>
      <c r="L30" s="143">
        <f t="shared" si="0"/>
        <v>0</v>
      </c>
      <c r="M30" s="145" t="str">
        <f t="shared" si="1"/>
        <v/>
      </c>
      <c r="N30" s="145" t="str">
        <f t="shared" si="2"/>
        <v/>
      </c>
      <c r="O30" s="146" t="str">
        <f t="shared" si="4"/>
        <v/>
      </c>
      <c r="P30" s="49"/>
      <c r="Q30" s="190"/>
      <c r="R30" s="190"/>
      <c r="S30" s="73"/>
      <c r="T30" s="63"/>
      <c r="U30" s="50">
        <f t="shared" si="5"/>
        <v>0</v>
      </c>
    </row>
    <row r="31" spans="1:35" s="50" customFormat="1" ht="30" customHeight="1" thickBot="1" x14ac:dyDescent="0.35">
      <c r="A31" s="184"/>
      <c r="B31" s="222" t="str">
        <f>IF(A31:A48="","",IF(N$4="sys/",VLOOKUP(A31:A48,#REF!,4,FALSE),VLOOKUP(A31:A48,#REF!,4,FALSE)))</f>
        <v/>
      </c>
      <c r="C31" s="223"/>
      <c r="D31" s="224"/>
      <c r="E31" s="225" t="str">
        <f>IF(A31:A48="","",IF(N$4="sys/",VLOOKUP(A31:A48,#REF!,7,FALSE),VLOOKUP(A31:A48,#REF!,7,FALSE)))</f>
        <v/>
      </c>
      <c r="F31" s="226"/>
      <c r="G31" s="118" t="str">
        <f>IF(A31:A48="","",IF(P$4="sys/",VLOOKUP(A31:A48,#REF!,9,FALSE),VLOOKUP(A31:A48,#REF!,9,FALSE)))</f>
        <v/>
      </c>
      <c r="H31" s="188"/>
      <c r="I31" s="118" t="str">
        <f t="shared" si="3"/>
        <v/>
      </c>
      <c r="J31" s="145" t="str">
        <f>IF(A31:A48="","",IF(N$4="sys/",VLOOKUP(A31:A48,#REF!,8,FALSE),VLOOKUP(A31:A48,#REF!,8,FALSE)))</f>
        <v/>
      </c>
      <c r="K31" s="188"/>
      <c r="L31" s="143">
        <f t="shared" si="0"/>
        <v>0</v>
      </c>
      <c r="M31" s="145" t="str">
        <f t="shared" si="1"/>
        <v/>
      </c>
      <c r="N31" s="145" t="str">
        <f t="shared" si="2"/>
        <v/>
      </c>
      <c r="O31" s="146" t="str">
        <f t="shared" si="4"/>
        <v/>
      </c>
      <c r="P31" s="49"/>
      <c r="Q31" s="190"/>
      <c r="R31" s="116"/>
      <c r="T31" s="63"/>
      <c r="U31" s="50">
        <f>SUM(U17:U30)</f>
        <v>0</v>
      </c>
    </row>
    <row r="32" spans="1:35" s="50" customFormat="1" ht="30" customHeight="1" thickBot="1" x14ac:dyDescent="0.35">
      <c r="A32" s="184"/>
      <c r="B32" s="222" t="str">
        <f>IF(A32:A49="","",IF(N$4="sys/",VLOOKUP(A32:A49,#REF!,4,FALSE),VLOOKUP(A32:A49,#REF!,4,FALSE)))</f>
        <v/>
      </c>
      <c r="C32" s="223"/>
      <c r="D32" s="224"/>
      <c r="E32" s="225" t="str">
        <f>IF(A32:A49="","",IF(N$4="sys/",VLOOKUP(A32:A49,#REF!,7,FALSE),VLOOKUP(A32:A49,#REF!,7,FALSE)))</f>
        <v/>
      </c>
      <c r="F32" s="226"/>
      <c r="G32" s="118" t="str">
        <f>IF(A32:A49="","",IF(P$4="sys/",VLOOKUP(A32:A49,#REF!,9,FALSE),VLOOKUP(A32:A49,#REF!,9,FALSE)))</f>
        <v/>
      </c>
      <c r="H32" s="188"/>
      <c r="I32" s="118" t="str">
        <f t="shared" si="3"/>
        <v/>
      </c>
      <c r="J32" s="145" t="str">
        <f>IF(A32:A49="","",IF(N$4="sys/",VLOOKUP(A32:A49,#REF!,8,FALSE),VLOOKUP(A32:A49,#REF!,8,FALSE)))</f>
        <v/>
      </c>
      <c r="K32" s="188"/>
      <c r="L32" s="143">
        <f t="shared" si="0"/>
        <v>0</v>
      </c>
      <c r="M32" s="145" t="str">
        <f t="shared" si="1"/>
        <v/>
      </c>
      <c r="N32" s="145" t="str">
        <f t="shared" si="2"/>
        <v/>
      </c>
      <c r="O32" s="146" t="str">
        <f t="shared" si="4"/>
        <v/>
      </c>
      <c r="P32" s="49"/>
      <c r="Q32" s="190"/>
      <c r="R32" s="116"/>
      <c r="T32" s="63"/>
      <c r="U32" s="191">
        <f>SUM(U17:U30)/O44</f>
        <v>0</v>
      </c>
    </row>
    <row r="33" spans="1:35" s="50" customFormat="1" ht="30" customHeight="1" thickBot="1" x14ac:dyDescent="0.35">
      <c r="A33" s="184"/>
      <c r="B33" s="222" t="str">
        <f>IF(A33:A50="","",IF(N$4="sys/",VLOOKUP(A33:A50,#REF!,4,FALSE),VLOOKUP(A33:A50,#REF!,4,FALSE)))</f>
        <v/>
      </c>
      <c r="C33" s="223"/>
      <c r="D33" s="224"/>
      <c r="E33" s="225" t="str">
        <f>IF(A33:A50="","",IF(N$4="sys/",VLOOKUP(A33:A50,#REF!,7,FALSE),VLOOKUP(A33:A50,#REF!,7,FALSE)))</f>
        <v/>
      </c>
      <c r="F33" s="226"/>
      <c r="G33" s="118" t="str">
        <f>IF(A33:A50="","",IF(P$4="sys/",VLOOKUP(A33:A50,#REF!,9,FALSE),VLOOKUP(A33:A50,#REF!,9,FALSE)))</f>
        <v/>
      </c>
      <c r="H33" s="188"/>
      <c r="I33" s="118" t="str">
        <f t="shared" si="3"/>
        <v/>
      </c>
      <c r="J33" s="145" t="str">
        <f>IF(A33:A50="","",IF(N$4="sys/",VLOOKUP(A33:A50,#REF!,8,FALSE),VLOOKUP(A33:A50,#REF!,8,FALSE)))</f>
        <v/>
      </c>
      <c r="K33" s="188"/>
      <c r="L33" s="143">
        <f t="shared" si="0"/>
        <v>0</v>
      </c>
      <c r="M33" s="145" t="str">
        <f t="shared" si="1"/>
        <v/>
      </c>
      <c r="N33" s="145" t="str">
        <f t="shared" si="2"/>
        <v/>
      </c>
      <c r="O33" s="146" t="str">
        <f t="shared" si="4"/>
        <v/>
      </c>
      <c r="P33" s="49"/>
      <c r="Q33" s="190"/>
      <c r="R33" s="116"/>
      <c r="T33" s="63"/>
      <c r="AI33"/>
    </row>
    <row r="34" spans="1:35" s="50" customFormat="1" ht="30" customHeight="1" thickBot="1" x14ac:dyDescent="0.35">
      <c r="A34" s="185"/>
      <c r="B34" s="222" t="str">
        <f>IF(A34:A51="","",IF(N$4="sys/",VLOOKUP(A34:A51,#REF!,4,FALSE),VLOOKUP(A34:A51,#REF!,4,FALSE)))</f>
        <v/>
      </c>
      <c r="C34" s="223"/>
      <c r="D34" s="224"/>
      <c r="E34" s="225" t="str">
        <f>IF(A34:A51="","",IF(N$4="sys/",VLOOKUP(A34:A51,#REF!,7,FALSE),VLOOKUP(A34:A51,#REF!,7,FALSE)))</f>
        <v/>
      </c>
      <c r="F34" s="226"/>
      <c r="G34" s="118" t="str">
        <f>IF(A34:A51="","",IF(P$4="sys/",VLOOKUP(A34:A51,#REF!,9,FALSE),VLOOKUP(A34:A51,#REF!,9,FALSE)))</f>
        <v/>
      </c>
      <c r="H34" s="188"/>
      <c r="I34" s="118" t="str">
        <f t="shared" si="3"/>
        <v/>
      </c>
      <c r="J34" s="145" t="str">
        <f>IF(A34:A51="","",IF(N$4="sys/",VLOOKUP(A34:A51,#REF!,8,FALSE),VLOOKUP(A34:A51,#REF!,8,FALSE)))</f>
        <v/>
      </c>
      <c r="K34" s="188"/>
      <c r="L34" s="143">
        <f t="shared" si="0"/>
        <v>0</v>
      </c>
      <c r="M34" s="145" t="str">
        <f t="shared" si="1"/>
        <v/>
      </c>
      <c r="N34" s="145" t="str">
        <f t="shared" si="2"/>
        <v/>
      </c>
      <c r="O34" s="146" t="str">
        <f t="shared" si="4"/>
        <v/>
      </c>
      <c r="P34" s="49"/>
      <c r="Q34" s="190"/>
      <c r="R34" s="116"/>
      <c r="T34" s="63"/>
      <c r="AI34"/>
    </row>
    <row r="35" spans="1:35" ht="17.25" thickBot="1" x14ac:dyDescent="0.35">
      <c r="A35" s="147" t="s">
        <v>5</v>
      </c>
      <c r="B35" s="148"/>
      <c r="C35" s="148"/>
      <c r="D35" s="148"/>
      <c r="E35" s="148"/>
      <c r="F35" s="148"/>
      <c r="G35" s="148"/>
      <c r="H35" s="148"/>
      <c r="I35" s="148">
        <f>AVERAGE(I17:I34)</f>
        <v>2</v>
      </c>
      <c r="J35" s="148"/>
      <c r="K35" s="149">
        <f>SUM(K17:K34)</f>
        <v>14000</v>
      </c>
      <c r="L35" s="149"/>
      <c r="M35" s="149">
        <f>SUM(M17:M34)</f>
        <v>16040</v>
      </c>
      <c r="N35" s="149"/>
      <c r="O35" s="150">
        <f>SUM(O17:O34)</f>
        <v>482780</v>
      </c>
      <c r="Q35" t="s">
        <v>125</v>
      </c>
      <c r="R35" s="76"/>
      <c r="S35" s="76"/>
      <c r="T35" s="76"/>
    </row>
    <row r="36" spans="1:35" ht="21" x14ac:dyDescent="0.3">
      <c r="A36" s="227" t="s">
        <v>37</v>
      </c>
      <c r="B36" s="228"/>
      <c r="C36" s="229" t="s">
        <v>40</v>
      </c>
      <c r="D36" s="229"/>
      <c r="E36" s="152"/>
      <c r="F36" s="152"/>
      <c r="G36" s="152"/>
      <c r="H36" s="152"/>
      <c r="I36" s="152"/>
      <c r="J36" s="152"/>
      <c r="K36" s="152"/>
      <c r="L36" s="152"/>
      <c r="M36" s="230" t="s">
        <v>21</v>
      </c>
      <c r="N36" s="231"/>
      <c r="O36" s="153">
        <f>O35</f>
        <v>482780</v>
      </c>
      <c r="T36" s="46"/>
    </row>
    <row r="37" spans="1:35" ht="18.75" x14ac:dyDescent="0.3">
      <c r="A37" s="227" t="s">
        <v>38</v>
      </c>
      <c r="B37" s="228"/>
      <c r="C37" s="232" t="s">
        <v>145</v>
      </c>
      <c r="D37" s="232"/>
      <c r="E37" s="152"/>
      <c r="F37" s="152"/>
      <c r="G37" s="152"/>
      <c r="H37" s="152"/>
      <c r="I37" s="152"/>
      <c r="J37" s="152"/>
      <c r="K37" s="152"/>
      <c r="L37" s="152"/>
      <c r="M37" s="233" t="s">
        <v>22</v>
      </c>
      <c r="N37" s="234"/>
      <c r="O37" s="154">
        <v>9900</v>
      </c>
      <c r="T37" s="47"/>
    </row>
    <row r="38" spans="1:35" ht="16.5" customHeight="1" x14ac:dyDescent="0.3">
      <c r="A38" s="132" t="s">
        <v>46</v>
      </c>
      <c r="B38" s="152"/>
      <c r="C38" s="155" t="s">
        <v>28</v>
      </c>
      <c r="D38" s="152"/>
      <c r="E38" s="152"/>
      <c r="F38" s="152"/>
      <c r="G38" s="152"/>
      <c r="H38" s="152"/>
      <c r="I38" s="152"/>
      <c r="J38" s="152"/>
      <c r="K38" s="152"/>
      <c r="L38" s="152"/>
      <c r="M38" s="239" t="s">
        <v>26</v>
      </c>
      <c r="N38" s="240"/>
      <c r="O38" s="156">
        <v>0</v>
      </c>
      <c r="U38" s="69"/>
    </row>
    <row r="39" spans="1:35" ht="16.5" customHeight="1" x14ac:dyDescent="0.3">
      <c r="A39" s="157" t="str">
        <f>IF(B1=X1,Z3,AA3)</f>
        <v>PAYEE:SINOCHEM TIANJIN CO., LTD</v>
      </c>
      <c r="B39" s="152"/>
      <c r="C39" s="152"/>
      <c r="D39" s="152"/>
      <c r="E39" s="152"/>
      <c r="F39" s="152"/>
      <c r="G39" s="152"/>
      <c r="H39" s="152"/>
      <c r="I39" s="152"/>
      <c r="J39" s="152"/>
      <c r="K39" s="152"/>
      <c r="L39" s="152"/>
      <c r="M39" s="239" t="s">
        <v>27</v>
      </c>
      <c r="N39" s="240"/>
      <c r="O39" s="156">
        <v>0</v>
      </c>
    </row>
    <row r="40" spans="1:35" ht="16.5" customHeight="1" x14ac:dyDescent="0.3">
      <c r="A40" s="158" t="s">
        <v>13</v>
      </c>
      <c r="B40" s="152"/>
      <c r="C40" s="152"/>
      <c r="D40" s="152"/>
      <c r="E40" s="152"/>
      <c r="F40" s="152"/>
      <c r="G40" s="152"/>
      <c r="H40" s="152"/>
      <c r="I40" s="152"/>
      <c r="J40" s="152"/>
      <c r="K40" s="152"/>
      <c r="L40" s="152"/>
      <c r="M40" s="152"/>
      <c r="N40" s="152"/>
      <c r="O40" s="156">
        <v>0</v>
      </c>
    </row>
    <row r="41" spans="1:35" ht="16.5" customHeight="1" x14ac:dyDescent="0.3">
      <c r="A41" s="158" t="s">
        <v>14</v>
      </c>
      <c r="B41" s="152"/>
      <c r="C41" s="152"/>
      <c r="D41" s="152"/>
      <c r="E41" s="152"/>
      <c r="F41" s="152"/>
      <c r="G41" s="152"/>
      <c r="H41" s="152"/>
      <c r="I41" s="152"/>
      <c r="J41" s="152"/>
      <c r="K41" s="152"/>
      <c r="L41" s="152"/>
      <c r="M41" s="152"/>
      <c r="N41" s="152"/>
      <c r="O41" s="156">
        <v>0</v>
      </c>
    </row>
    <row r="42" spans="1:35" ht="16.5" customHeight="1" x14ac:dyDescent="0.3">
      <c r="A42" s="158" t="s">
        <v>15</v>
      </c>
      <c r="B42" s="152"/>
      <c r="C42" s="152"/>
      <c r="D42" s="152"/>
      <c r="E42" s="152"/>
      <c r="F42" s="152"/>
      <c r="G42" s="152"/>
      <c r="H42" s="152"/>
      <c r="I42" s="152"/>
      <c r="J42" s="152"/>
      <c r="K42" s="152"/>
      <c r="L42" s="152"/>
      <c r="M42" s="152"/>
      <c r="N42" s="152"/>
      <c r="O42" s="156">
        <v>0</v>
      </c>
    </row>
    <row r="43" spans="1:35" ht="16.5" customHeight="1" x14ac:dyDescent="0.3">
      <c r="A43" s="158" t="s">
        <v>16</v>
      </c>
      <c r="B43" s="152"/>
      <c r="C43" s="152"/>
      <c r="D43" s="152"/>
      <c r="E43" s="152"/>
      <c r="F43" s="152"/>
      <c r="G43" s="152"/>
      <c r="H43" s="152"/>
      <c r="I43" s="152"/>
      <c r="J43" s="152"/>
      <c r="K43" s="152"/>
      <c r="L43" s="152"/>
      <c r="M43" s="152"/>
      <c r="N43" s="152"/>
      <c r="O43" s="156">
        <v>0</v>
      </c>
      <c r="Q43" s="72">
        <v>426655.25</v>
      </c>
    </row>
    <row r="44" spans="1:35" ht="21.75" thickBot="1" x14ac:dyDescent="0.4">
      <c r="A44" s="158" t="str">
        <f>IF(B1=X1,Z2,AA2)</f>
        <v>ACCOUNT NUMBER:10002000096220000016</v>
      </c>
      <c r="B44" s="133"/>
      <c r="C44" s="133"/>
      <c r="D44" s="133"/>
      <c r="E44" s="133"/>
      <c r="F44" s="133"/>
      <c r="G44" s="133"/>
      <c r="H44" s="133"/>
      <c r="I44" s="133"/>
      <c r="J44" s="133"/>
      <c r="K44" s="133"/>
      <c r="L44" s="133"/>
      <c r="M44" s="241" t="s">
        <v>25</v>
      </c>
      <c r="N44" s="242"/>
      <c r="O44" s="159">
        <f>SUM(O36+O37)</f>
        <v>492680</v>
      </c>
    </row>
    <row r="45" spans="1:35" ht="18.75" thickBot="1" x14ac:dyDescent="0.35">
      <c r="A45" s="243" t="s">
        <v>83</v>
      </c>
      <c r="B45" s="244"/>
      <c r="C45" s="245" t="e">
        <f ca="1">SpellNumber(O44)</f>
        <v>#NAME?</v>
      </c>
      <c r="D45" s="245"/>
      <c r="E45" s="245"/>
      <c r="F45" s="245"/>
      <c r="G45" s="245"/>
      <c r="H45" s="245"/>
      <c r="I45" s="245"/>
      <c r="J45" s="245"/>
      <c r="K45" s="246"/>
      <c r="L45" s="160"/>
      <c r="M45" s="133"/>
      <c r="N45" s="133"/>
      <c r="O45" s="161" t="s">
        <v>51</v>
      </c>
    </row>
    <row r="46" spans="1:35" x14ac:dyDescent="0.3">
      <c r="A46" s="247"/>
      <c r="B46" s="248"/>
      <c r="C46" s="248"/>
      <c r="D46" s="248"/>
      <c r="E46" s="248"/>
      <c r="F46" s="248"/>
      <c r="G46" s="248"/>
      <c r="H46" s="248"/>
      <c r="I46" s="248"/>
      <c r="J46" s="248"/>
      <c r="K46" s="248"/>
      <c r="L46" s="162"/>
      <c r="M46" s="133"/>
      <c r="N46" s="133"/>
      <c r="O46" s="163"/>
    </row>
    <row r="47" spans="1:35" ht="16.5" x14ac:dyDescent="0.3">
      <c r="A47" s="164" t="s">
        <v>8</v>
      </c>
      <c r="B47" s="165"/>
      <c r="C47" s="165"/>
      <c r="D47" s="165"/>
      <c r="E47" s="165"/>
      <c r="F47" s="165"/>
      <c r="G47" s="165"/>
      <c r="H47" s="165"/>
      <c r="I47" s="165"/>
      <c r="J47" s="165"/>
      <c r="K47" s="165"/>
      <c r="L47" s="165"/>
      <c r="M47" s="165"/>
      <c r="N47" s="165"/>
      <c r="O47" s="166"/>
    </row>
    <row r="48" spans="1:35" x14ac:dyDescent="0.3">
      <c r="A48" s="167" t="s">
        <v>4</v>
      </c>
      <c r="B48" s="168"/>
      <c r="C48" s="168" t="s">
        <v>28</v>
      </c>
      <c r="D48" s="168"/>
      <c r="E48" s="168"/>
      <c r="F48" s="168"/>
      <c r="G48" s="133"/>
      <c r="H48" s="133"/>
      <c r="I48" s="133"/>
      <c r="J48" s="133"/>
      <c r="K48" s="133"/>
      <c r="L48" s="133"/>
      <c r="M48" s="133"/>
      <c r="N48" s="133"/>
      <c r="O48" s="163"/>
    </row>
    <row r="49" spans="1:21" x14ac:dyDescent="0.3">
      <c r="A49" s="167" t="s">
        <v>2</v>
      </c>
      <c r="B49" s="168"/>
      <c r="C49" s="168" t="s">
        <v>28</v>
      </c>
      <c r="D49" s="168"/>
      <c r="E49" s="168"/>
      <c r="F49" s="168"/>
      <c r="G49" s="133"/>
      <c r="H49" s="133"/>
      <c r="I49" s="133"/>
      <c r="J49" s="133"/>
      <c r="K49" s="133"/>
      <c r="L49" s="133"/>
      <c r="M49" s="133"/>
      <c r="N49" s="133"/>
      <c r="O49" s="163"/>
      <c r="U49" t="e">
        <f ca="1">SpellNumber(O44)</f>
        <v>#NAME?</v>
      </c>
    </row>
    <row r="50" spans="1:21" x14ac:dyDescent="0.3">
      <c r="A50" s="167" t="s">
        <v>3</v>
      </c>
      <c r="B50" s="168"/>
      <c r="C50" s="168" t="s">
        <v>29</v>
      </c>
      <c r="D50" s="168"/>
      <c r="E50" s="168"/>
      <c r="F50" s="168"/>
      <c r="G50" s="133"/>
      <c r="H50" s="133"/>
      <c r="I50" s="133"/>
      <c r="J50" s="133"/>
      <c r="K50" s="133"/>
      <c r="L50" s="133"/>
      <c r="M50" s="133"/>
      <c r="N50" s="133"/>
      <c r="O50" s="163"/>
    </row>
    <row r="51" spans="1:21" x14ac:dyDescent="0.3">
      <c r="A51" s="167"/>
      <c r="B51" s="168"/>
      <c r="C51" s="168"/>
      <c r="D51" s="168"/>
      <c r="E51" s="168"/>
      <c r="F51" s="168"/>
      <c r="G51" s="133"/>
      <c r="H51" s="133"/>
      <c r="I51" s="133"/>
      <c r="J51" s="133"/>
      <c r="K51" s="133"/>
      <c r="L51" s="133"/>
      <c r="M51" s="133"/>
      <c r="N51" s="133"/>
      <c r="O51" s="163"/>
      <c r="T51" t="e">
        <f ca="1">SpellNumber(O44)</f>
        <v>#NAME?</v>
      </c>
    </row>
    <row r="52" spans="1:21" x14ac:dyDescent="0.3">
      <c r="A52" s="169" t="s">
        <v>6</v>
      </c>
      <c r="B52" s="151"/>
      <c r="C52" s="229" t="s">
        <v>24</v>
      </c>
      <c r="D52" s="229"/>
      <c r="E52" s="229"/>
      <c r="F52" s="229"/>
      <c r="G52" s="170"/>
      <c r="H52" s="170"/>
      <c r="I52" s="170"/>
      <c r="J52" s="170"/>
      <c r="K52" s="170"/>
      <c r="L52" s="170"/>
      <c r="M52" s="170"/>
      <c r="N52" s="170"/>
      <c r="O52" s="163"/>
      <c r="T52" t="e">
        <f ca="1">SpellNumber(O44)</f>
        <v>#NAME?</v>
      </c>
    </row>
    <row r="53" spans="1:21" x14ac:dyDescent="0.3">
      <c r="A53" s="171"/>
      <c r="B53" s="170"/>
      <c r="C53" s="170"/>
      <c r="D53" s="170"/>
      <c r="E53" s="170"/>
      <c r="F53" s="170"/>
      <c r="G53" s="170"/>
      <c r="H53" s="170"/>
      <c r="I53" s="170"/>
      <c r="J53" s="170"/>
      <c r="K53" s="170"/>
      <c r="L53" s="170"/>
      <c r="M53" s="170"/>
      <c r="N53" s="170"/>
      <c r="O53" s="163"/>
      <c r="T53" t="e">
        <f ca="1">SpellNumber(O44)</f>
        <v>#NAME?</v>
      </c>
    </row>
    <row r="54" spans="1:21" ht="15" customHeight="1" x14ac:dyDescent="0.3">
      <c r="A54" s="235" t="s">
        <v>30</v>
      </c>
      <c r="B54" s="236"/>
      <c r="C54" s="236"/>
      <c r="D54" s="236"/>
      <c r="E54" s="236"/>
      <c r="F54" s="236"/>
      <c r="G54" s="236"/>
      <c r="H54" s="172"/>
      <c r="I54" s="172"/>
      <c r="J54" s="170"/>
      <c r="K54" s="170"/>
      <c r="L54" s="170"/>
      <c r="M54" s="170"/>
      <c r="N54" s="170"/>
      <c r="O54" s="163"/>
    </row>
    <row r="55" spans="1:21" x14ac:dyDescent="0.3">
      <c r="A55" s="235"/>
      <c r="B55" s="236"/>
      <c r="C55" s="236"/>
      <c r="D55" s="236"/>
      <c r="E55" s="236"/>
      <c r="F55" s="236"/>
      <c r="G55" s="236"/>
      <c r="H55" s="172"/>
      <c r="I55" s="172"/>
      <c r="J55" s="170"/>
      <c r="K55" s="170"/>
      <c r="L55" s="170"/>
      <c r="M55" s="170"/>
      <c r="N55" s="170"/>
      <c r="O55" s="163"/>
    </row>
    <row r="56" spans="1:21" x14ac:dyDescent="0.3">
      <c r="A56" s="235"/>
      <c r="B56" s="236"/>
      <c r="C56" s="236"/>
      <c r="D56" s="236"/>
      <c r="E56" s="236"/>
      <c r="F56" s="236"/>
      <c r="G56" s="236"/>
      <c r="H56" s="172"/>
      <c r="I56" s="172"/>
      <c r="J56" s="170"/>
      <c r="K56" s="170"/>
      <c r="L56" s="170"/>
      <c r="M56" s="170"/>
      <c r="N56" s="170"/>
      <c r="O56" s="163"/>
    </row>
    <row r="57" spans="1:21" x14ac:dyDescent="0.3">
      <c r="A57" s="173" t="s">
        <v>147</v>
      </c>
      <c r="B57" s="174"/>
      <c r="C57" s="170"/>
      <c r="D57" s="170"/>
      <c r="E57" s="170"/>
      <c r="F57" s="170"/>
      <c r="G57" s="170"/>
      <c r="H57" s="170"/>
      <c r="I57" s="170"/>
      <c r="J57" s="170"/>
      <c r="K57" s="170"/>
      <c r="L57" s="170"/>
      <c r="M57" s="170"/>
      <c r="N57" s="170"/>
      <c r="O57" s="163"/>
    </row>
    <row r="58" spans="1:21" ht="15.75" thickBot="1" x14ac:dyDescent="0.35">
      <c r="A58" s="237" t="str">
        <f>IF(B1=X1,Z1,AA1)</f>
        <v>SINOCHEM TIANJIN CO., LTD</v>
      </c>
      <c r="B58" s="238" t="e">
        <f>IF(C57=#REF!,#REF!,#REF!)</f>
        <v>#REF!</v>
      </c>
      <c r="C58" s="238" t="e">
        <f>IF(D57=#REF!,#REF!,#REF!)</f>
        <v>#REF!</v>
      </c>
      <c r="D58" s="238" t="e">
        <f>IF(E57=#REF!,#REF!,#REF!)</f>
        <v>#REF!</v>
      </c>
      <c r="E58" s="175"/>
      <c r="F58" s="176"/>
      <c r="G58" s="176"/>
      <c r="H58" s="176"/>
      <c r="I58" s="176"/>
      <c r="J58" s="176"/>
      <c r="K58" s="176"/>
      <c r="L58" s="176"/>
      <c r="M58" s="176"/>
      <c r="N58" s="176"/>
      <c r="O58" s="177"/>
    </row>
  </sheetData>
  <mergeCells count="68">
    <mergeCell ref="A58:D58"/>
    <mergeCell ref="M38:N38"/>
    <mergeCell ref="M39:N39"/>
    <mergeCell ref="M44:N44"/>
    <mergeCell ref="A45:B45"/>
    <mergeCell ref="C45:K45"/>
    <mergeCell ref="A46:K46"/>
    <mergeCell ref="A37:B37"/>
    <mergeCell ref="C37:D37"/>
    <mergeCell ref="M37:N37"/>
    <mergeCell ref="C52:F52"/>
    <mergeCell ref="A54:G56"/>
    <mergeCell ref="B34:D34"/>
    <mergeCell ref="E34:F34"/>
    <mergeCell ref="A36:B36"/>
    <mergeCell ref="C36:D36"/>
    <mergeCell ref="M36:N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6:D16"/>
    <mergeCell ref="E16:F16"/>
    <mergeCell ref="B17:D17"/>
    <mergeCell ref="E17:F17"/>
    <mergeCell ref="B18:D18"/>
    <mergeCell ref="E18:F18"/>
    <mergeCell ref="M12:N12"/>
    <mergeCell ref="M13:N13"/>
    <mergeCell ref="Q13:R14"/>
    <mergeCell ref="M14:N14"/>
    <mergeCell ref="M15:N15"/>
    <mergeCell ref="A10:D10"/>
    <mergeCell ref="M10:N10"/>
    <mergeCell ref="A11:B11"/>
    <mergeCell ref="C11:D11"/>
    <mergeCell ref="M11:N11"/>
    <mergeCell ref="B1:F1"/>
    <mergeCell ref="N2:O2"/>
    <mergeCell ref="N3:O3"/>
    <mergeCell ref="K5:M5"/>
    <mergeCell ref="N5:O5"/>
  </mergeCells>
  <dataValidations count="3">
    <dataValidation type="list" allowBlank="1" showInputMessage="1" showErrorMessage="1" sqref="A10:D10" xr:uid="{00000000-0002-0000-0100-000000000000}">
      <formula1>$AI$1:$AI$21</formula1>
    </dataValidation>
    <dataValidation type="list" allowBlank="1" showInputMessage="1" showErrorMessage="1" sqref="B1:F1" xr:uid="{00000000-0002-0000-0100-000001000000}">
      <formula1>$X$1:$Y$1</formula1>
    </dataValidation>
    <dataValidation type="list" allowBlank="1" showInputMessage="1" showErrorMessage="1" sqref="H17:H34" xr:uid="{00000000-0002-0000-0100-000002000000}">
      <formula1>$AF$11:$AF$12</formula1>
    </dataValidation>
  </dataValidations>
  <printOptions horizontalCentered="1"/>
  <pageMargins left="0.511811023622047" right="0.511811023622047" top="0.511811023622047" bottom="0.511811023622047" header="0.511811023622047" footer="0.23622047244094499"/>
  <pageSetup scale="6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8">
    <pageSetUpPr fitToPage="1"/>
  </sheetPr>
  <dimension ref="A1:Y52"/>
  <sheetViews>
    <sheetView showGridLines="0" topLeftCell="A25" zoomScale="85" zoomScaleNormal="85" workbookViewId="0">
      <selection activeCell="T485" sqref="T485"/>
    </sheetView>
  </sheetViews>
  <sheetFormatPr defaultRowHeight="15" x14ac:dyDescent="0.3"/>
  <cols>
    <col min="1" max="3" width="11.42578125" customWidth="1"/>
    <col min="4" max="4" width="13.5703125" customWidth="1"/>
    <col min="5" max="5" width="11.42578125" customWidth="1"/>
    <col min="6" max="6" width="17" customWidth="1"/>
    <col min="7" max="7" width="8.140625" bestFit="1" customWidth="1"/>
    <col min="8" max="8" width="8.140625" customWidth="1"/>
    <col min="9" max="12" width="11.42578125" customWidth="1"/>
    <col min="13" max="13" width="16.85546875" customWidth="1"/>
    <col min="14" max="14" width="10.85546875" bestFit="1" customWidth="1"/>
    <col min="15" max="15" width="9.85546875" bestFit="1" customWidth="1"/>
    <col min="18" max="18" width="11.85546875" bestFit="1" customWidth="1"/>
    <col min="22" max="22" width="13.7109375" bestFit="1" customWidth="1"/>
  </cols>
  <sheetData>
    <row r="1" spans="1:25" ht="78" customHeight="1" x14ac:dyDescent="0.45">
      <c r="A1" s="8"/>
      <c r="B1" s="306" t="s">
        <v>108</v>
      </c>
      <c r="C1" s="306"/>
      <c r="D1" s="306"/>
      <c r="E1" s="306"/>
      <c r="F1" s="306"/>
      <c r="G1" s="84"/>
      <c r="H1" s="84"/>
      <c r="I1" s="84"/>
      <c r="J1" s="84"/>
      <c r="K1" s="84"/>
      <c r="L1" s="84"/>
      <c r="M1" s="30" t="s">
        <v>7</v>
      </c>
      <c r="V1" s="87" t="s">
        <v>74</v>
      </c>
      <c r="W1" s="88" t="s">
        <v>108</v>
      </c>
      <c r="X1" s="38" t="s">
        <v>69</v>
      </c>
      <c r="Y1" s="38" t="s">
        <v>109</v>
      </c>
    </row>
    <row r="2" spans="1:25" ht="16.5" x14ac:dyDescent="0.3">
      <c r="A2" s="38" t="str">
        <f>IF(B1=V1,X1,Y1)</f>
        <v>SINOCHEM TIANJIN CO., LTD</v>
      </c>
      <c r="B2" s="39"/>
      <c r="C2" s="39"/>
      <c r="D2" s="9"/>
      <c r="E2" s="9"/>
      <c r="F2" s="9"/>
      <c r="G2" s="9"/>
      <c r="H2" s="9"/>
      <c r="I2" s="9"/>
      <c r="J2" s="35"/>
      <c r="K2" s="36" t="s">
        <v>45</v>
      </c>
      <c r="L2" s="307">
        <v>42278</v>
      </c>
      <c r="M2" s="308"/>
      <c r="X2" s="89" t="s">
        <v>110</v>
      </c>
      <c r="Y2" s="89" t="s">
        <v>111</v>
      </c>
    </row>
    <row r="3" spans="1:25" ht="16.5" x14ac:dyDescent="0.3">
      <c r="A3" s="40" t="s">
        <v>11</v>
      </c>
      <c r="B3" s="41"/>
      <c r="C3" s="41"/>
      <c r="D3" s="10"/>
      <c r="E3" s="10"/>
      <c r="F3" s="10"/>
      <c r="G3" s="10"/>
      <c r="H3" s="10"/>
      <c r="I3" s="10"/>
      <c r="J3" s="37"/>
      <c r="K3" s="36" t="s">
        <v>44</v>
      </c>
      <c r="L3" s="307" t="s">
        <v>96</v>
      </c>
      <c r="M3" s="308"/>
      <c r="X3" s="38" t="s">
        <v>112</v>
      </c>
      <c r="Y3" s="38" t="s">
        <v>113</v>
      </c>
    </row>
    <row r="4" spans="1:25" ht="15" customHeight="1" x14ac:dyDescent="0.3">
      <c r="A4" s="40" t="s">
        <v>12</v>
      </c>
      <c r="B4" s="41"/>
      <c r="C4" s="41"/>
      <c r="D4" s="9"/>
      <c r="E4" s="9"/>
      <c r="F4" s="9"/>
      <c r="G4" s="9"/>
      <c r="H4" s="9"/>
      <c r="I4" s="9"/>
      <c r="J4" s="35"/>
      <c r="K4" s="36" t="s">
        <v>47</v>
      </c>
      <c r="L4" s="79" t="s">
        <v>98</v>
      </c>
      <c r="M4" s="77" t="s">
        <v>116</v>
      </c>
    </row>
    <row r="5" spans="1:25" ht="16.5" x14ac:dyDescent="0.3">
      <c r="A5" s="40" t="s">
        <v>10</v>
      </c>
      <c r="B5" s="41"/>
      <c r="C5" s="41"/>
      <c r="D5" s="9"/>
      <c r="E5" s="9"/>
      <c r="F5" s="9"/>
      <c r="G5" s="9"/>
      <c r="H5" s="9"/>
      <c r="I5" s="9"/>
      <c r="J5" s="309"/>
      <c r="K5" s="309"/>
      <c r="L5" s="310"/>
      <c r="M5" s="311"/>
      <c r="P5" t="s">
        <v>105</v>
      </c>
    </row>
    <row r="6" spans="1:25" ht="16.5" x14ac:dyDescent="0.3">
      <c r="A6" s="40" t="s">
        <v>9</v>
      </c>
      <c r="B6" s="41"/>
      <c r="C6" s="41"/>
      <c r="D6" s="9"/>
      <c r="E6" s="9"/>
      <c r="F6" s="9"/>
      <c r="G6" s="9"/>
      <c r="H6" s="9"/>
      <c r="I6" s="9"/>
      <c r="J6" s="9"/>
      <c r="K6" s="9"/>
      <c r="L6" s="9"/>
      <c r="M6" s="11"/>
      <c r="P6" t="s">
        <v>106</v>
      </c>
    </row>
    <row r="7" spans="1:25" x14ac:dyDescent="0.3">
      <c r="A7" s="12"/>
      <c r="B7" s="1"/>
      <c r="C7" s="1"/>
      <c r="D7" s="9"/>
      <c r="E7" s="9"/>
      <c r="F7" s="9"/>
      <c r="G7" s="9"/>
      <c r="H7" s="9"/>
      <c r="I7" s="9"/>
      <c r="J7" s="9"/>
      <c r="K7" s="9"/>
      <c r="L7" s="9"/>
      <c r="M7" s="11"/>
      <c r="P7" t="s">
        <v>89</v>
      </c>
    </row>
    <row r="8" spans="1:25" x14ac:dyDescent="0.3">
      <c r="A8" s="12"/>
      <c r="B8" s="1"/>
      <c r="C8" s="1"/>
      <c r="D8" s="1"/>
      <c r="E8" s="1"/>
      <c r="F8" s="1"/>
      <c r="G8" s="1"/>
      <c r="H8" s="1"/>
      <c r="I8" s="1"/>
      <c r="J8" s="1"/>
      <c r="K8" s="1"/>
      <c r="L8" s="1"/>
      <c r="M8" s="11"/>
    </row>
    <row r="9" spans="1:25" ht="16.5" x14ac:dyDescent="0.3">
      <c r="A9" s="13" t="s">
        <v>1</v>
      </c>
      <c r="B9" s="3"/>
      <c r="C9" s="3"/>
      <c r="D9" s="3"/>
      <c r="E9" s="3"/>
      <c r="F9" s="3"/>
      <c r="G9" s="3"/>
      <c r="H9" s="3"/>
      <c r="I9" s="3"/>
      <c r="J9" s="3"/>
      <c r="K9" s="3"/>
      <c r="L9" s="3" t="s">
        <v>31</v>
      </c>
      <c r="M9" s="34"/>
    </row>
    <row r="10" spans="1:25" ht="16.5" x14ac:dyDescent="0.3">
      <c r="A10" s="40" t="s">
        <v>88</v>
      </c>
      <c r="B10" s="41"/>
      <c r="C10" s="41"/>
      <c r="D10" s="9"/>
      <c r="E10" s="9"/>
      <c r="F10" s="9"/>
      <c r="G10" s="9"/>
      <c r="H10" s="9"/>
      <c r="I10" s="9"/>
      <c r="J10" s="9"/>
      <c r="K10" s="299" t="s">
        <v>32</v>
      </c>
      <c r="L10" s="299"/>
      <c r="M10" s="59" t="s">
        <v>34</v>
      </c>
    </row>
    <row r="11" spans="1:25" ht="16.5" customHeight="1" x14ac:dyDescent="0.3">
      <c r="A11" s="40" t="s">
        <v>86</v>
      </c>
      <c r="B11" s="41"/>
      <c r="C11" s="41"/>
      <c r="D11" s="9"/>
      <c r="E11" s="9"/>
      <c r="F11" s="9"/>
      <c r="G11" s="9"/>
      <c r="H11" s="9"/>
      <c r="I11" s="9"/>
      <c r="J11" s="9"/>
      <c r="K11" s="299" t="s">
        <v>42</v>
      </c>
      <c r="L11" s="299"/>
      <c r="M11" s="59" t="s">
        <v>43</v>
      </c>
    </row>
    <row r="12" spans="1:25" ht="16.5" customHeight="1" x14ac:dyDescent="0.3">
      <c r="A12" s="40" t="s">
        <v>87</v>
      </c>
      <c r="B12" s="41"/>
      <c r="C12" s="41"/>
      <c r="D12" s="9"/>
      <c r="E12" s="9"/>
      <c r="F12" s="9"/>
      <c r="G12" s="9"/>
      <c r="H12" s="9"/>
      <c r="I12" s="9"/>
      <c r="J12" s="9"/>
      <c r="K12" s="299" t="s">
        <v>41</v>
      </c>
      <c r="L12" s="299"/>
      <c r="M12" s="61">
        <f xml:space="preserve"> K29</f>
        <v>12720</v>
      </c>
      <c r="W12" t="s">
        <v>80</v>
      </c>
      <c r="Y12" t="s">
        <v>36</v>
      </c>
    </row>
    <row r="13" spans="1:25" ht="16.5" customHeight="1" x14ac:dyDescent="0.3">
      <c r="A13" s="40" t="s">
        <v>85</v>
      </c>
      <c r="B13" s="41"/>
      <c r="C13" s="41"/>
      <c r="D13" s="9"/>
      <c r="E13" s="9"/>
      <c r="F13" s="9"/>
      <c r="G13" s="9"/>
      <c r="H13" s="9"/>
      <c r="I13" s="9"/>
      <c r="J13" s="9"/>
      <c r="K13" s="299" t="s">
        <v>35</v>
      </c>
      <c r="L13" s="299"/>
      <c r="M13" s="60" t="str">
        <f>IF(K29/J29=1.06,"Cartons",IF(K29/J29&gt;=1.12,"Drums","Cartons &amp; Drums"))</f>
        <v>Cartons</v>
      </c>
      <c r="O13" s="215" t="s">
        <v>77</v>
      </c>
      <c r="P13" s="215"/>
      <c r="Q13" s="83"/>
      <c r="R13" s="64" t="s">
        <v>78</v>
      </c>
      <c r="S13" s="65" t="s">
        <v>76</v>
      </c>
      <c r="T13" t="s">
        <v>95</v>
      </c>
      <c r="V13" s="51" t="s">
        <v>75</v>
      </c>
      <c r="W13" s="50">
        <v>19800</v>
      </c>
      <c r="Y13" t="s">
        <v>67</v>
      </c>
    </row>
    <row r="14" spans="1:25" ht="16.5" customHeight="1" x14ac:dyDescent="0.3">
      <c r="A14" s="42" t="s">
        <v>84</v>
      </c>
      <c r="B14" s="43"/>
      <c r="C14" s="41"/>
      <c r="D14" s="9"/>
      <c r="E14" s="9"/>
      <c r="F14" s="9"/>
      <c r="G14" s="9"/>
      <c r="H14" s="9"/>
      <c r="I14" s="9"/>
      <c r="J14" s="9"/>
      <c r="K14" s="299" t="s">
        <v>33</v>
      </c>
      <c r="L14" s="299"/>
      <c r="M14" s="60">
        <f>J29/25</f>
        <v>480</v>
      </c>
      <c r="O14" s="215"/>
      <c r="P14" s="215"/>
      <c r="Q14" s="83"/>
      <c r="R14" s="83">
        <v>0.5</v>
      </c>
      <c r="S14" s="66"/>
      <c r="T14">
        <v>1</v>
      </c>
      <c r="V14" s="51" t="s">
        <v>76</v>
      </c>
      <c r="W14" s="50">
        <v>15000</v>
      </c>
      <c r="Y14" t="s">
        <v>91</v>
      </c>
    </row>
    <row r="15" spans="1:25" ht="12" customHeight="1" x14ac:dyDescent="0.3">
      <c r="A15" s="12"/>
      <c r="B15" s="1"/>
      <c r="C15" s="43"/>
      <c r="D15" s="1"/>
      <c r="E15" s="1"/>
      <c r="F15" s="1"/>
      <c r="G15" s="1"/>
      <c r="H15" s="1"/>
      <c r="I15" s="1"/>
      <c r="J15" s="1"/>
      <c r="K15" s="299"/>
      <c r="L15" s="299"/>
      <c r="M15" s="59"/>
      <c r="Y15" t="s">
        <v>89</v>
      </c>
    </row>
    <row r="16" spans="1:25" ht="48.75" customHeight="1" x14ac:dyDescent="0.3">
      <c r="A16" s="31" t="s">
        <v>17</v>
      </c>
      <c r="B16" s="312" t="s">
        <v>0</v>
      </c>
      <c r="C16" s="312"/>
      <c r="D16" s="312"/>
      <c r="E16" s="312" t="s">
        <v>39</v>
      </c>
      <c r="F16" s="312"/>
      <c r="G16" s="32" t="s">
        <v>18</v>
      </c>
      <c r="H16" s="32" t="s">
        <v>104</v>
      </c>
      <c r="I16" s="32" t="s">
        <v>19</v>
      </c>
      <c r="J16" s="32" t="s">
        <v>20</v>
      </c>
      <c r="K16" s="32" t="s">
        <v>23</v>
      </c>
      <c r="L16" s="32" t="s">
        <v>49</v>
      </c>
      <c r="M16" s="33" t="s">
        <v>50</v>
      </c>
      <c r="O16" s="32" t="s">
        <v>72</v>
      </c>
      <c r="P16" s="32" t="s">
        <v>81</v>
      </c>
      <c r="Q16" s="32" t="s">
        <v>94</v>
      </c>
      <c r="R16" s="32" t="s">
        <v>93</v>
      </c>
      <c r="S16" s="32" t="s">
        <v>73</v>
      </c>
    </row>
    <row r="17" spans="1:22" s="50" customFormat="1" ht="30" customHeight="1" x14ac:dyDescent="0.3">
      <c r="A17" s="67">
        <v>2992</v>
      </c>
      <c r="B17" s="290" t="e">
        <f>IF(A17:A28="","",IF(L$4="sys/",VLOOKUP(A17:A28,#REF!,4,FALSE)))</f>
        <v>#REF!</v>
      </c>
      <c r="C17" s="291"/>
      <c r="D17" s="292"/>
      <c r="E17" s="293" t="e">
        <f>IF(A17:A28="","",IF(L$4="sys/",VLOOKUP(A17:A28,#REF!,7,FALSE)))</f>
        <v>#REF!</v>
      </c>
      <c r="F17" s="294"/>
      <c r="G17" s="53" t="e">
        <f>IF(A17:A28="","",IF(L$4="sys/",VLOOKUP(A17:A28,#REF!,9,FALSE)))</f>
        <v>#REF!</v>
      </c>
      <c r="H17" s="53" t="s">
        <v>105</v>
      </c>
      <c r="I17" s="53" t="e">
        <f>IF(A17:A28="","",IF(L$4="sys/",VLOOKUP(A17:A28,#REF!,8,FALSE)))</f>
        <v>#REF!</v>
      </c>
      <c r="J17" s="52">
        <v>12000</v>
      </c>
      <c r="K17" s="52">
        <f>IF(H17="","",IF(H17="carton",(J17*26.5/25),IF(H17="drum",J17*28/25,IF(H17="bale",0))))</f>
        <v>12720</v>
      </c>
      <c r="L17" s="86" t="str">
        <f>FIXED(O17-(M$31/J$29),2,1)</f>
        <v>37.18</v>
      </c>
      <c r="M17" s="74">
        <f>J17*L17</f>
        <v>446160</v>
      </c>
      <c r="N17" s="49"/>
      <c r="O17" s="70">
        <v>38</v>
      </c>
      <c r="P17" s="48"/>
      <c r="Q17" s="73"/>
      <c r="R17" s="63" t="e">
        <f>(O17-P17)/P17+Q17</f>
        <v>#DIV/0!</v>
      </c>
      <c r="S17" s="50" t="e">
        <f>O17*J17*R17</f>
        <v>#DIV/0!</v>
      </c>
      <c r="T17" s="50">
        <f>O17*J17</f>
        <v>456000</v>
      </c>
    </row>
    <row r="18" spans="1:22" s="50" customFormat="1" ht="30" customHeight="1" x14ac:dyDescent="0.3">
      <c r="A18" s="68"/>
      <c r="B18" s="290" t="str">
        <f>IF(A18:A29="","",IF(L$4="sys/",VLOOKUP(A18:A29,#REF!,4,FALSE)))</f>
        <v/>
      </c>
      <c r="C18" s="291"/>
      <c r="D18" s="292"/>
      <c r="E18" s="293" t="str">
        <f>IF(A18:A29="","",IF(L$4="sys/",VLOOKUP(A18:A29,#REF!,7,FALSE)))</f>
        <v/>
      </c>
      <c r="F18" s="294"/>
      <c r="G18" s="53" t="str">
        <f>IF(A18:A29="","",IF(L$4="sys/",VLOOKUP(A18:A29,#REF!,9,FALSE)))</f>
        <v/>
      </c>
      <c r="H18" s="53"/>
      <c r="I18" s="53" t="str">
        <f>IF(A18:A29="","",IF(L$4="sys/",VLOOKUP(A18:A29,#REF!,8,FALSE)))</f>
        <v/>
      </c>
      <c r="J18" s="53"/>
      <c r="K18" s="53" t="str">
        <f t="shared" ref="K18:K28" si="0">IF(H18="","",IF(H18="carton",(J18*26.5/25),IF(H18="drum",J18*28/25,IF(H18="bale",0))))</f>
        <v/>
      </c>
      <c r="L18" s="85"/>
      <c r="M18" s="74"/>
      <c r="N18" s="49"/>
      <c r="O18" s="70"/>
      <c r="P18" s="48"/>
      <c r="Q18" s="73"/>
      <c r="R18" s="63" t="e">
        <f>(O18-P18)/P18+Q18</f>
        <v>#DIV/0!</v>
      </c>
      <c r="S18" s="50" t="e">
        <f>O18*J18*R18</f>
        <v>#DIV/0!</v>
      </c>
      <c r="T18" s="50">
        <f>O18*J18</f>
        <v>0</v>
      </c>
    </row>
    <row r="19" spans="1:22" s="50" customFormat="1" ht="30" customHeight="1" x14ac:dyDescent="0.3">
      <c r="A19" s="68"/>
      <c r="B19" s="290" t="str">
        <f>IF(A19:A30="","",IF(L$4="sys/",VLOOKUP(A19:A30,#REF!,4,FALSE)))</f>
        <v/>
      </c>
      <c r="C19" s="291"/>
      <c r="D19" s="292"/>
      <c r="E19" s="293" t="str">
        <f>IF(A19:A30="","",IF(L$4="sys/",VLOOKUP(A19:A30,#REF!,7,FALSE)))</f>
        <v/>
      </c>
      <c r="F19" s="294"/>
      <c r="G19" s="53" t="str">
        <f>IF(A19:A30="","",IF(L$4="sys/",VLOOKUP(A19:A30,#REF!,9,FALSE)))</f>
        <v/>
      </c>
      <c r="H19" s="53"/>
      <c r="I19" s="53" t="str">
        <f>IF(A19:A30="","",IF(L$4="sys/",VLOOKUP(A19:A30,#REF!,8,FALSE)))</f>
        <v/>
      </c>
      <c r="J19" s="53"/>
      <c r="K19" s="53" t="str">
        <f t="shared" si="0"/>
        <v/>
      </c>
      <c r="L19" s="85"/>
      <c r="M19" s="74"/>
      <c r="N19" s="49"/>
      <c r="O19" s="70"/>
      <c r="P19" s="48"/>
      <c r="Q19" s="73"/>
      <c r="R19" s="63" t="e">
        <f>(O19-P19)/P19+Q19</f>
        <v>#DIV/0!</v>
      </c>
      <c r="S19" s="50" t="e">
        <f>O19*J19*R19</f>
        <v>#DIV/0!</v>
      </c>
      <c r="T19" s="50">
        <f>O19*J19</f>
        <v>0</v>
      </c>
      <c r="V19" s="51"/>
    </row>
    <row r="20" spans="1:22" s="50" customFormat="1" ht="30" customHeight="1" x14ac:dyDescent="0.3">
      <c r="A20" s="68"/>
      <c r="B20" s="290" t="str">
        <f>IF(A20:A31="","",IF(L$4="sys/",VLOOKUP(A20:A31,#REF!,4,FALSE)))</f>
        <v/>
      </c>
      <c r="C20" s="291"/>
      <c r="D20" s="292"/>
      <c r="E20" s="293" t="str">
        <f>IF(A20:A31="","",IF(L$4="sys/",VLOOKUP(A20:A31,#REF!,7,FALSE)))</f>
        <v/>
      </c>
      <c r="F20" s="294"/>
      <c r="G20" s="53" t="str">
        <f>IF(A20:A31="","",IF(L$4="sys/",VLOOKUP(A20:A31,#REF!,9,FALSE)))</f>
        <v/>
      </c>
      <c r="H20" s="53"/>
      <c r="I20" s="53" t="str">
        <f>IF(A20:A31="","",IF(L$4="sys/",VLOOKUP(A20:A31,#REF!,8,FALSE)))</f>
        <v/>
      </c>
      <c r="J20" s="53"/>
      <c r="K20" s="53" t="str">
        <f t="shared" si="0"/>
        <v/>
      </c>
      <c r="L20" s="85"/>
      <c r="M20" s="74"/>
      <c r="N20" s="49"/>
      <c r="O20" s="70"/>
      <c r="P20" s="48"/>
      <c r="Q20" s="73"/>
      <c r="R20" s="63" t="e">
        <f>(O20-P20)/P20+Q20</f>
        <v>#DIV/0!</v>
      </c>
      <c r="S20" s="50" t="e">
        <f>O20*J20*R20</f>
        <v>#DIV/0!</v>
      </c>
      <c r="T20" s="50">
        <f>O20*J20</f>
        <v>0</v>
      </c>
    </row>
    <row r="21" spans="1:22" s="50" customFormat="1" ht="30" customHeight="1" x14ac:dyDescent="0.3">
      <c r="A21" s="68"/>
      <c r="B21" s="290" t="str">
        <f>IF(A21:A32="","",IF(L$4="sys/",VLOOKUP(A21:A32,#REF!,4,FALSE)))</f>
        <v/>
      </c>
      <c r="C21" s="291"/>
      <c r="D21" s="292"/>
      <c r="E21" s="293" t="str">
        <f>IF(A21:A32="","",IF(L$4="sys/",VLOOKUP(A21:A32,#REF!,7,FALSE)))</f>
        <v/>
      </c>
      <c r="F21" s="294"/>
      <c r="G21" s="53" t="str">
        <f>IF(A21:A32="","",IF(L$4="sys/",VLOOKUP(A21:A32,#REF!,9,FALSE)))</f>
        <v/>
      </c>
      <c r="H21" s="53"/>
      <c r="I21" s="53" t="str">
        <f>IF(A21:A32="","",IF(L$4="sys/",VLOOKUP(A21:A32,#REF!,8,FALSE)))</f>
        <v/>
      </c>
      <c r="J21" s="53"/>
      <c r="K21" s="53" t="str">
        <f t="shared" si="0"/>
        <v/>
      </c>
      <c r="L21" s="85"/>
      <c r="M21" s="74"/>
      <c r="N21" s="49"/>
      <c r="O21" s="70"/>
      <c r="P21" s="48"/>
      <c r="Q21" s="73"/>
      <c r="R21" s="63" t="e">
        <f>(#REF!-P21)/P21+Q21</f>
        <v>#REF!</v>
      </c>
      <c r="S21" s="50" t="e">
        <f>#REF!*#REF!*R21</f>
        <v>#REF!</v>
      </c>
      <c r="T21" s="50" t="e">
        <f>#REF!*#REF!</f>
        <v>#REF!</v>
      </c>
      <c r="V21" s="51"/>
    </row>
    <row r="22" spans="1:22" s="50" customFormat="1" ht="30" customHeight="1" x14ac:dyDescent="0.3">
      <c r="A22" s="68"/>
      <c r="B22" s="290" t="str">
        <f>IF(A22:A33="","",IF(L$4="sys/",VLOOKUP(A22:A33,#REF!,4,FALSE)))</f>
        <v/>
      </c>
      <c r="C22" s="291"/>
      <c r="D22" s="292"/>
      <c r="E22" s="293" t="str">
        <f>IF(A22:A33="","",IF(L$4="sys/",VLOOKUP(A22:A33,#REF!,7,FALSE)))</f>
        <v/>
      </c>
      <c r="F22" s="294"/>
      <c r="G22" s="53" t="str">
        <f>IF(A22:A33="","",IF(L$4="sys/",VLOOKUP(A22:A33,#REF!,9,FALSE)))</f>
        <v/>
      </c>
      <c r="H22" s="53"/>
      <c r="I22" s="53" t="str">
        <f>IF(A22:A33="","",IF(L$4="sys/",VLOOKUP(A22:A33,#REF!,8,FALSE)))</f>
        <v/>
      </c>
      <c r="J22" s="53"/>
      <c r="K22" s="53" t="str">
        <f t="shared" si="0"/>
        <v/>
      </c>
      <c r="L22" s="85"/>
      <c r="M22" s="74"/>
      <c r="N22" s="49"/>
      <c r="P22" s="48"/>
      <c r="Q22" s="73"/>
      <c r="R22" s="63" t="e">
        <f t="shared" ref="R22:R27" si="1">(O21-P22)/P22+Q22</f>
        <v>#DIV/0!</v>
      </c>
      <c r="S22" s="50" t="e">
        <f>O21*J21*R22</f>
        <v>#DIV/0!</v>
      </c>
      <c r="T22" s="50">
        <f>O21*J21</f>
        <v>0</v>
      </c>
      <c r="V22" s="51">
        <f>M38*5.5%</f>
        <v>25083.3</v>
      </c>
    </row>
    <row r="23" spans="1:22" s="50" customFormat="1" ht="30" customHeight="1" x14ac:dyDescent="0.3">
      <c r="A23" s="68"/>
      <c r="B23" s="290" t="str">
        <f>IF(A23:A34="","",IF(L$4="sys/",VLOOKUP(A23:A34,#REF!,4,FALSE)))</f>
        <v/>
      </c>
      <c r="C23" s="291"/>
      <c r="D23" s="292"/>
      <c r="E23" s="293" t="str">
        <f>IF(A23:A34="","",IF(L$4="sys/",VLOOKUP(A23:A34,#REF!,7,FALSE)))</f>
        <v/>
      </c>
      <c r="F23" s="294"/>
      <c r="G23" s="53" t="str">
        <f>IF(A23:A34="","",IF(L$4="sys/",VLOOKUP(A23:A34,#REF!,9,FALSE)))</f>
        <v/>
      </c>
      <c r="H23" s="53"/>
      <c r="I23" s="53" t="str">
        <f>IF(A23:A34="","",IF(L$4="sys/",VLOOKUP(A23:A34,#REF!,8,FALSE)))</f>
        <v/>
      </c>
      <c r="J23" s="53"/>
      <c r="K23" s="53" t="str">
        <f t="shared" si="0"/>
        <v/>
      </c>
      <c r="L23" s="85"/>
      <c r="M23" s="74"/>
      <c r="N23" s="49"/>
      <c r="Q23" s="73"/>
      <c r="R23" s="63" t="e">
        <f t="shared" si="1"/>
        <v>#DIV/0!</v>
      </c>
      <c r="S23" s="50" t="e">
        <f>O22*J22*R23</f>
        <v>#DIV/0!</v>
      </c>
      <c r="T23" s="50">
        <f>O22*J22</f>
        <v>0</v>
      </c>
      <c r="V23" s="51" t="e">
        <f>S29-V22</f>
        <v>#DIV/0!</v>
      </c>
    </row>
    <row r="24" spans="1:22" s="50" customFormat="1" ht="30" customHeight="1" x14ac:dyDescent="0.3">
      <c r="A24" s="68"/>
      <c r="B24" s="290" t="str">
        <f>IF(A24:A35="","",IF(L$4="sys/",VLOOKUP(A24:A35,#REF!,4,FALSE)))</f>
        <v/>
      </c>
      <c r="C24" s="291"/>
      <c r="D24" s="292"/>
      <c r="E24" s="293" t="str">
        <f>IF(A24:A35="","",IF(L$4="sys/",VLOOKUP(A24:A35,#REF!,7,FALSE)))</f>
        <v/>
      </c>
      <c r="F24" s="294"/>
      <c r="G24" s="53" t="str">
        <f>IF(A24:A35="","",IF(L$4="sys/",VLOOKUP(A24:A35,#REF!,9,FALSE)))</f>
        <v/>
      </c>
      <c r="H24" s="53"/>
      <c r="I24" s="53" t="str">
        <f>IF(A24:A35="","",IF(L$4="sys/",VLOOKUP(A24:A35,#REF!,8,FALSE)))</f>
        <v/>
      </c>
      <c r="J24" s="53"/>
      <c r="K24" s="53" t="str">
        <f t="shared" si="0"/>
        <v/>
      </c>
      <c r="L24" s="85"/>
      <c r="M24" s="74"/>
      <c r="N24" s="49"/>
      <c r="Q24" s="73"/>
      <c r="R24" s="63" t="e">
        <f t="shared" si="1"/>
        <v>#DIV/0!</v>
      </c>
      <c r="S24" s="50" t="e">
        <f>O23*J23*R24</f>
        <v>#DIV/0!</v>
      </c>
      <c r="T24" s="50">
        <f>O23*J23</f>
        <v>0</v>
      </c>
      <c r="V24" s="51"/>
    </row>
    <row r="25" spans="1:22" s="50" customFormat="1" ht="30" customHeight="1" x14ac:dyDescent="0.3">
      <c r="A25" s="68"/>
      <c r="B25" s="290" t="str">
        <f>IF(A25:A36="","",IF(L$4="sys/",VLOOKUP(A25:A36,#REF!,4,FALSE)))</f>
        <v/>
      </c>
      <c r="C25" s="291"/>
      <c r="D25" s="292"/>
      <c r="E25" s="293" t="str">
        <f>IF(A25:A36="","",IF(L$4="sys/",VLOOKUP(A25:A36,#REF!,7,FALSE)))</f>
        <v/>
      </c>
      <c r="F25" s="294"/>
      <c r="G25" s="53" t="str">
        <f>IF(A25:A36="","",IF(L$4="sys/",VLOOKUP(A25:A36,#REF!,9,FALSE)))</f>
        <v/>
      </c>
      <c r="H25" s="53"/>
      <c r="I25" s="53" t="str">
        <f>IF(A25:A36="","",IF(L$4="sys/",VLOOKUP(A25:A36,#REF!,8,FALSE)))</f>
        <v/>
      </c>
      <c r="J25" s="53"/>
      <c r="K25" s="53" t="str">
        <f t="shared" si="0"/>
        <v/>
      </c>
      <c r="L25" s="85"/>
      <c r="M25" s="74"/>
      <c r="N25" s="49"/>
      <c r="Q25" s="73"/>
      <c r="R25" s="63" t="e">
        <f t="shared" si="1"/>
        <v>#DIV/0!</v>
      </c>
      <c r="S25" s="50" t="e">
        <f>O24*J24*R25</f>
        <v>#DIV/0!</v>
      </c>
      <c r="T25" s="50">
        <f>O24*J24</f>
        <v>0</v>
      </c>
      <c r="V25" s="51"/>
    </row>
    <row r="26" spans="1:22" s="50" customFormat="1" ht="30" customHeight="1" x14ac:dyDescent="0.3">
      <c r="A26" s="68"/>
      <c r="B26" s="290" t="str">
        <f>IF(A26:A37="","",IF(L$4="sys/",VLOOKUP(A26:A37,#REF!,4,FALSE)))</f>
        <v/>
      </c>
      <c r="C26" s="291"/>
      <c r="D26" s="292"/>
      <c r="E26" s="293" t="str">
        <f>IF(A26:A37="","",IF(L$4="sys/",VLOOKUP(A26:A37,#REF!,7,FALSE)))</f>
        <v/>
      </c>
      <c r="F26" s="294"/>
      <c r="G26" s="53" t="str">
        <f>IF(A26:A37="","",IF(L$4="sys/",VLOOKUP(A26:A37,#REF!,9,FALSE)))</f>
        <v/>
      </c>
      <c r="H26" s="53"/>
      <c r="I26" s="53" t="str">
        <f>IF(A26:A37="","",IF(L$4="sys/",VLOOKUP(A26:A37,#REF!,8,FALSE)))</f>
        <v/>
      </c>
      <c r="J26" s="53"/>
      <c r="K26" s="53" t="str">
        <f t="shared" si="0"/>
        <v/>
      </c>
      <c r="L26" s="85"/>
      <c r="M26" s="74"/>
      <c r="N26" s="49"/>
      <c r="Q26" s="73"/>
      <c r="R26" s="63" t="e">
        <f t="shared" si="1"/>
        <v>#DIV/0!</v>
      </c>
      <c r="S26" s="50" t="e">
        <f>O25*J25*R26</f>
        <v>#DIV/0!</v>
      </c>
      <c r="V26" s="51"/>
    </row>
    <row r="27" spans="1:22" s="50" customFormat="1" ht="30" customHeight="1" x14ac:dyDescent="0.3">
      <c r="A27" s="68"/>
      <c r="B27" s="290" t="str">
        <f>IF(A27:A38="","",IF(L$4="sys/",VLOOKUP(A27:A38,#REF!,4,FALSE)))</f>
        <v/>
      </c>
      <c r="C27" s="291"/>
      <c r="D27" s="292"/>
      <c r="E27" s="293" t="str">
        <f>IF(A27:A38="","",IF(L$4="sys/",VLOOKUP(A27:A38,#REF!,7,FALSE)))</f>
        <v/>
      </c>
      <c r="F27" s="294"/>
      <c r="G27" s="53" t="str">
        <f>IF(A27:A38="","",IF(L$4="sys/",VLOOKUP(A27:A38,#REF!,9,FALSE)))</f>
        <v/>
      </c>
      <c r="H27" s="53"/>
      <c r="I27" s="53" t="str">
        <f>IF(A27:A38="","",IF(L$4="sys/",VLOOKUP(A27:A38,#REF!,8,FALSE)))</f>
        <v/>
      </c>
      <c r="J27" s="53"/>
      <c r="K27" s="53" t="str">
        <f t="shared" si="0"/>
        <v/>
      </c>
      <c r="L27" s="85"/>
      <c r="M27" s="74"/>
      <c r="N27" s="49"/>
      <c r="Q27" s="73"/>
      <c r="R27" s="63" t="e">
        <f t="shared" si="1"/>
        <v>#DIV/0!</v>
      </c>
      <c r="S27" s="50" t="e">
        <f>O26*J27*R27</f>
        <v>#DIV/0!</v>
      </c>
      <c r="V27" s="51"/>
    </row>
    <row r="28" spans="1:22" s="50" customFormat="1" ht="30" customHeight="1" x14ac:dyDescent="0.3">
      <c r="A28" s="68"/>
      <c r="B28" s="290" t="str">
        <f>IF(A28:A39="","",IF(L$4="sys/",VLOOKUP(A28:A39,#REF!,4,FALSE)))</f>
        <v/>
      </c>
      <c r="C28" s="291"/>
      <c r="D28" s="292"/>
      <c r="E28" s="293" t="str">
        <f>IF(A28:A39="","",IF(L$4="sys/",VLOOKUP(A28:A39,#REF!,7,FALSE)))</f>
        <v/>
      </c>
      <c r="F28" s="294"/>
      <c r="G28" s="53" t="str">
        <f>IF(A28:A39="","",IF(L$4="sys/",VLOOKUP(A28:A39,#REF!,9,FALSE)))</f>
        <v/>
      </c>
      <c r="H28" s="53"/>
      <c r="I28" s="53" t="str">
        <f>IF(A28:A39="","",IF(L$4="sys/",VLOOKUP(A28:A39,#REF!,8,FALSE)))</f>
        <v/>
      </c>
      <c r="J28" s="53"/>
      <c r="K28" s="53" t="str">
        <f t="shared" si="0"/>
        <v/>
      </c>
      <c r="L28" s="85"/>
      <c r="M28" s="74"/>
      <c r="N28" s="49"/>
      <c r="O28" s="76" t="s">
        <v>79</v>
      </c>
      <c r="R28" s="63"/>
      <c r="V28" s="51"/>
    </row>
    <row r="29" spans="1:22" ht="16.5" x14ac:dyDescent="0.3">
      <c r="A29" s="14" t="s">
        <v>5</v>
      </c>
      <c r="B29" s="7"/>
      <c r="C29" s="7"/>
      <c r="D29" s="7"/>
      <c r="E29" s="7"/>
      <c r="F29" s="7"/>
      <c r="G29" s="7"/>
      <c r="H29" s="7"/>
      <c r="I29" s="7"/>
      <c r="J29" s="25">
        <f>SUM(J17:J28)</f>
        <v>12000</v>
      </c>
      <c r="K29" s="25">
        <f>SUM(K17:K28)</f>
        <v>12720</v>
      </c>
      <c r="L29" s="25"/>
      <c r="M29" s="58">
        <f>SUM(M17:M28)</f>
        <v>446160</v>
      </c>
      <c r="P29" s="76"/>
      <c r="Q29" s="76"/>
      <c r="R29" s="76"/>
      <c r="S29" t="e">
        <f>SUM(S17:S28)</f>
        <v>#DIV/0!</v>
      </c>
      <c r="V29" s="47" t="e">
        <f>S29/M38</f>
        <v>#DIV/0!</v>
      </c>
    </row>
    <row r="30" spans="1:22" ht="21" x14ac:dyDescent="0.3">
      <c r="A30" s="286" t="s">
        <v>37</v>
      </c>
      <c r="B30" s="287"/>
      <c r="C30" s="271" t="s">
        <v>40</v>
      </c>
      <c r="D30" s="271"/>
      <c r="E30" s="6"/>
      <c r="F30" s="6"/>
      <c r="G30" s="6"/>
      <c r="H30" s="6"/>
      <c r="I30" s="6"/>
      <c r="J30" s="6"/>
      <c r="K30" s="295" t="s">
        <v>21</v>
      </c>
      <c r="L30" s="296"/>
      <c r="M30" s="57">
        <f>M29</f>
        <v>446160</v>
      </c>
      <c r="R30" s="46"/>
      <c r="V30" s="47"/>
    </row>
    <row r="31" spans="1:22" ht="18.75" x14ac:dyDescent="0.3">
      <c r="A31" s="286" t="s">
        <v>38</v>
      </c>
      <c r="B31" s="287"/>
      <c r="C31" s="271" t="s">
        <v>48</v>
      </c>
      <c r="D31" s="271"/>
      <c r="E31" s="6"/>
      <c r="F31" s="6"/>
      <c r="G31" s="6"/>
      <c r="H31" s="6"/>
      <c r="I31" s="6"/>
      <c r="J31" s="6"/>
      <c r="K31" s="288" t="s">
        <v>22</v>
      </c>
      <c r="L31" s="289"/>
      <c r="M31" s="56">
        <f>(R14*W13+S14*W14)*T14</f>
        <v>9900</v>
      </c>
      <c r="R31" s="47"/>
      <c r="V31" s="47"/>
    </row>
    <row r="32" spans="1:22" ht="16.5" customHeight="1" x14ac:dyDescent="0.3">
      <c r="A32" s="12" t="s">
        <v>46</v>
      </c>
      <c r="B32" s="6"/>
      <c r="C32" s="44" t="s">
        <v>28</v>
      </c>
      <c r="D32" s="6"/>
      <c r="E32" s="6"/>
      <c r="F32" s="6"/>
      <c r="G32" s="6"/>
      <c r="H32" s="6"/>
      <c r="I32" s="6"/>
      <c r="J32" s="6"/>
      <c r="K32" s="276" t="s">
        <v>26</v>
      </c>
      <c r="L32" s="277"/>
      <c r="M32" s="55">
        <v>0</v>
      </c>
      <c r="S32" s="69" t="s">
        <v>82</v>
      </c>
    </row>
    <row r="33" spans="1:19" ht="16.5" customHeight="1" x14ac:dyDescent="0.3">
      <c r="A33" s="15" t="str">
        <f>IF(B1=V1,X3,Y3)</f>
        <v>PAYEE:SINOCHEM TIANJIN CO., LTD</v>
      </c>
      <c r="B33" s="6"/>
      <c r="C33" s="6"/>
      <c r="D33" s="6"/>
      <c r="E33" s="6"/>
      <c r="F33" s="6"/>
      <c r="G33" s="6"/>
      <c r="H33" s="6"/>
      <c r="I33" s="6"/>
      <c r="J33" s="6"/>
      <c r="K33" s="276" t="s">
        <v>27</v>
      </c>
      <c r="L33" s="277"/>
      <c r="M33" s="55">
        <v>0</v>
      </c>
    </row>
    <row r="34" spans="1:19" ht="16.5" customHeight="1" x14ac:dyDescent="0.3">
      <c r="A34" s="16" t="s">
        <v>13</v>
      </c>
      <c r="B34" s="6"/>
      <c r="C34" s="6"/>
      <c r="D34" s="6"/>
      <c r="E34" s="6"/>
      <c r="F34" s="6"/>
      <c r="G34" s="6"/>
      <c r="H34" s="6"/>
      <c r="I34" s="6"/>
      <c r="J34" s="6"/>
      <c r="K34" s="6"/>
      <c r="L34" s="6"/>
      <c r="M34" s="55">
        <v>0</v>
      </c>
    </row>
    <row r="35" spans="1:19" ht="16.5" customHeight="1" x14ac:dyDescent="0.3">
      <c r="A35" s="16" t="s">
        <v>14</v>
      </c>
      <c r="B35" s="6"/>
      <c r="C35" s="6"/>
      <c r="D35" s="6"/>
      <c r="E35" s="6"/>
      <c r="F35" s="6"/>
      <c r="G35" s="6"/>
      <c r="H35" s="6"/>
      <c r="I35" s="6"/>
      <c r="J35" s="6"/>
      <c r="K35" s="6"/>
      <c r="L35" s="6"/>
      <c r="M35" s="55">
        <v>0</v>
      </c>
    </row>
    <row r="36" spans="1:19" ht="16.5" customHeight="1" x14ac:dyDescent="0.3">
      <c r="A36" s="16" t="s">
        <v>15</v>
      </c>
      <c r="B36" s="6"/>
      <c r="C36" s="6"/>
      <c r="D36" s="6"/>
      <c r="E36" s="6"/>
      <c r="F36" s="6"/>
      <c r="G36" s="6"/>
      <c r="H36" s="6"/>
      <c r="I36" s="6"/>
      <c r="J36" s="6"/>
      <c r="K36" s="6"/>
      <c r="L36" s="6"/>
      <c r="M36" s="55">
        <v>0</v>
      </c>
    </row>
    <row r="37" spans="1:19" ht="16.5" customHeight="1" x14ac:dyDescent="0.3">
      <c r="A37" s="16" t="s">
        <v>16</v>
      </c>
      <c r="B37" s="6"/>
      <c r="C37" s="6"/>
      <c r="D37" s="6"/>
      <c r="E37" s="6"/>
      <c r="F37" s="6"/>
      <c r="G37" s="6"/>
      <c r="H37" s="6"/>
      <c r="I37" s="6"/>
      <c r="J37" s="6"/>
      <c r="K37" s="6"/>
      <c r="L37" s="6"/>
      <c r="M37" s="55">
        <v>0</v>
      </c>
      <c r="O37" s="72">
        <v>426655.25</v>
      </c>
    </row>
    <row r="38" spans="1:19" ht="21.75" thickBot="1" x14ac:dyDescent="0.4">
      <c r="A38" s="16" t="str">
        <f>IF(B1=V1,X2,Y2)</f>
        <v>ACCOUNT NUMBER:10002000096220000016</v>
      </c>
      <c r="B38" s="1"/>
      <c r="C38" s="1"/>
      <c r="D38" s="1"/>
      <c r="E38" s="1"/>
      <c r="F38" s="1"/>
      <c r="G38" s="1"/>
      <c r="H38" s="1"/>
      <c r="I38" s="1"/>
      <c r="J38" s="1"/>
      <c r="K38" s="278" t="s">
        <v>25</v>
      </c>
      <c r="L38" s="279"/>
      <c r="M38" s="54">
        <f>SUM(M30+M31)</f>
        <v>456060</v>
      </c>
    </row>
    <row r="39" spans="1:19" ht="18.75" thickBot="1" x14ac:dyDescent="0.35">
      <c r="A39" s="280" t="s">
        <v>83</v>
      </c>
      <c r="B39" s="281"/>
      <c r="C39" s="282" t="e">
        <f ca="1">SpellNumber(M38)</f>
        <v>#NAME?</v>
      </c>
      <c r="D39" s="282"/>
      <c r="E39" s="282"/>
      <c r="F39" s="282"/>
      <c r="G39" s="282"/>
      <c r="H39" s="282"/>
      <c r="I39" s="282"/>
      <c r="J39" s="283"/>
      <c r="K39" s="1"/>
      <c r="L39" s="1"/>
      <c r="M39" s="45" t="s">
        <v>51</v>
      </c>
    </row>
    <row r="40" spans="1:19" x14ac:dyDescent="0.3">
      <c r="A40" s="284"/>
      <c r="B40" s="285"/>
      <c r="C40" s="285"/>
      <c r="D40" s="285"/>
      <c r="E40" s="285"/>
      <c r="F40" s="285"/>
      <c r="G40" s="285"/>
      <c r="H40" s="285"/>
      <c r="I40" s="285"/>
      <c r="J40" s="285"/>
      <c r="K40" s="1"/>
      <c r="L40" s="1"/>
      <c r="M40" s="17"/>
    </row>
    <row r="41" spans="1:19" ht="16.5" x14ac:dyDescent="0.3">
      <c r="A41" s="18" t="s">
        <v>8</v>
      </c>
      <c r="B41" s="5"/>
      <c r="C41" s="5"/>
      <c r="D41" s="5"/>
      <c r="E41" s="5"/>
      <c r="F41" s="5"/>
      <c r="G41" s="5"/>
      <c r="H41" s="5"/>
      <c r="I41" s="5"/>
      <c r="J41" s="5"/>
      <c r="K41" s="5"/>
      <c r="L41" s="5"/>
      <c r="M41" s="19"/>
    </row>
    <row r="42" spans="1:19" x14ac:dyDescent="0.3">
      <c r="A42" s="28" t="s">
        <v>4</v>
      </c>
      <c r="B42" s="27"/>
      <c r="C42" s="27" t="s">
        <v>28</v>
      </c>
      <c r="D42" s="27"/>
      <c r="E42" s="27"/>
      <c r="F42" s="27"/>
      <c r="G42" s="1"/>
      <c r="H42" s="1"/>
      <c r="I42" s="1"/>
      <c r="J42" s="1"/>
      <c r="K42" s="1"/>
      <c r="L42" s="1"/>
      <c r="M42" s="17"/>
    </row>
    <row r="43" spans="1:19" x14ac:dyDescent="0.3">
      <c r="A43" s="28" t="s">
        <v>2</v>
      </c>
      <c r="B43" s="27"/>
      <c r="C43" s="27" t="s">
        <v>28</v>
      </c>
      <c r="D43" s="27"/>
      <c r="E43" s="27"/>
      <c r="F43" s="27"/>
      <c r="G43" s="1"/>
      <c r="H43" s="1"/>
      <c r="I43" s="1"/>
      <c r="J43" s="1"/>
      <c r="K43" s="1"/>
      <c r="L43" s="1"/>
      <c r="M43" s="17"/>
      <c r="S43" t="e">
        <f ca="1">SpellNumber(M38)</f>
        <v>#NAME?</v>
      </c>
    </row>
    <row r="44" spans="1:19" x14ac:dyDescent="0.3">
      <c r="A44" s="28" t="s">
        <v>3</v>
      </c>
      <c r="B44" s="27"/>
      <c r="C44" s="27" t="s">
        <v>29</v>
      </c>
      <c r="D44" s="27"/>
      <c r="E44" s="27"/>
      <c r="F44" s="27"/>
      <c r="G44" s="1"/>
      <c r="H44" s="1"/>
      <c r="I44" s="1"/>
      <c r="J44" s="1"/>
      <c r="K44" s="1"/>
      <c r="L44" s="1"/>
      <c r="M44" s="17"/>
    </row>
    <row r="45" spans="1:19" x14ac:dyDescent="0.3">
      <c r="A45" s="28"/>
      <c r="B45" s="27"/>
      <c r="C45" s="27"/>
      <c r="D45" s="27"/>
      <c r="E45" s="27"/>
      <c r="F45" s="27"/>
      <c r="G45" s="1"/>
      <c r="H45" s="1"/>
      <c r="I45" s="1"/>
      <c r="J45" s="1"/>
      <c r="K45" s="1"/>
      <c r="L45" s="1"/>
      <c r="M45" s="17"/>
      <c r="R45" t="e">
        <f ca="1">SpellNumber(M38)</f>
        <v>#NAME?</v>
      </c>
    </row>
    <row r="46" spans="1:19" x14ac:dyDescent="0.3">
      <c r="A46" s="29" t="s">
        <v>6</v>
      </c>
      <c r="B46" s="26"/>
      <c r="C46" s="271" t="s">
        <v>24</v>
      </c>
      <c r="D46" s="271"/>
      <c r="E46" s="271"/>
      <c r="F46" s="271"/>
      <c r="G46" s="2"/>
      <c r="H46" s="2"/>
      <c r="I46" s="2"/>
      <c r="J46" s="2"/>
      <c r="K46" s="2"/>
      <c r="L46" s="2"/>
      <c r="M46" s="17"/>
      <c r="R46" t="e">
        <f ca="1">SpellNumber(M38)</f>
        <v>#NAME?</v>
      </c>
    </row>
    <row r="47" spans="1:19" x14ac:dyDescent="0.3">
      <c r="A47" s="20"/>
      <c r="B47" s="2"/>
      <c r="C47" s="2"/>
      <c r="D47" s="2"/>
      <c r="E47" s="2"/>
      <c r="F47" s="2"/>
      <c r="G47" s="2"/>
      <c r="H47" s="2"/>
      <c r="I47" s="2"/>
      <c r="J47" s="2"/>
      <c r="K47" s="2"/>
      <c r="L47" s="2"/>
      <c r="M47" s="17"/>
      <c r="R47" t="e">
        <f ca="1">SpellNumber(M38)</f>
        <v>#NAME?</v>
      </c>
    </row>
    <row r="48" spans="1:19" ht="15" customHeight="1" x14ac:dyDescent="0.3">
      <c r="A48" s="272" t="s">
        <v>30</v>
      </c>
      <c r="B48" s="273"/>
      <c r="C48" s="273"/>
      <c r="D48" s="273"/>
      <c r="E48" s="273"/>
      <c r="F48" s="273"/>
      <c r="G48" s="273"/>
      <c r="H48" s="78"/>
      <c r="I48" s="2"/>
      <c r="J48" s="2"/>
      <c r="K48" s="2"/>
      <c r="L48" s="2"/>
      <c r="M48" s="17"/>
    </row>
    <row r="49" spans="1:13" x14ac:dyDescent="0.3">
      <c r="A49" s="272"/>
      <c r="B49" s="273"/>
      <c r="C49" s="273"/>
      <c r="D49" s="273"/>
      <c r="E49" s="273"/>
      <c r="F49" s="273"/>
      <c r="G49" s="273"/>
      <c r="H49" s="78"/>
      <c r="I49" s="2"/>
      <c r="J49" s="2"/>
      <c r="K49" s="2"/>
      <c r="L49" s="2"/>
      <c r="M49" s="17"/>
    </row>
    <row r="50" spans="1:13" x14ac:dyDescent="0.3">
      <c r="A50" s="272"/>
      <c r="B50" s="273"/>
      <c r="C50" s="273"/>
      <c r="D50" s="273"/>
      <c r="E50" s="273"/>
      <c r="F50" s="273"/>
      <c r="G50" s="273"/>
      <c r="H50" s="78"/>
      <c r="I50" s="2"/>
      <c r="J50" s="2"/>
      <c r="K50" s="2"/>
      <c r="L50" s="2"/>
      <c r="M50" s="17"/>
    </row>
    <row r="51" spans="1:13" x14ac:dyDescent="0.3">
      <c r="A51" s="21" t="s">
        <v>92</v>
      </c>
      <c r="B51" s="4"/>
      <c r="C51" s="2"/>
      <c r="D51" s="2"/>
      <c r="E51" s="2"/>
      <c r="F51" s="2"/>
      <c r="G51" s="2"/>
      <c r="H51" s="2"/>
      <c r="I51" s="2"/>
      <c r="J51" s="2"/>
      <c r="K51" s="2"/>
      <c r="L51" s="2"/>
      <c r="M51" s="17"/>
    </row>
    <row r="52" spans="1:13" ht="15.75" thickBot="1" x14ac:dyDescent="0.35">
      <c r="A52" s="274" t="str">
        <f>IF(B1=V1,X1,Y1)</f>
        <v>SINOCHEM TIANJIN CO., LTD</v>
      </c>
      <c r="B52" s="275">
        <f>IF(C51=W51,Y51,Z51)</f>
        <v>0</v>
      </c>
      <c r="C52" s="275">
        <f>IF(D51=X51,Z51,AA51)</f>
        <v>0</v>
      </c>
      <c r="D52" s="275">
        <f>IF(E51=Y51,AA51,AB51)</f>
        <v>0</v>
      </c>
      <c r="E52" s="24"/>
      <c r="F52" s="22"/>
      <c r="G52" s="22"/>
      <c r="H52" s="22"/>
      <c r="I52" s="22"/>
      <c r="J52" s="22"/>
      <c r="K52" s="22"/>
      <c r="L52" s="22"/>
      <c r="M52" s="23"/>
    </row>
  </sheetData>
  <mergeCells count="53">
    <mergeCell ref="K10:L10"/>
    <mergeCell ref="K11:L11"/>
    <mergeCell ref="K12:L12"/>
    <mergeCell ref="K13:L13"/>
    <mergeCell ref="B1:F1"/>
    <mergeCell ref="L2:M2"/>
    <mergeCell ref="L3:M3"/>
    <mergeCell ref="J5:K5"/>
    <mergeCell ref="L5:M5"/>
    <mergeCell ref="O13:P14"/>
    <mergeCell ref="K14:L14"/>
    <mergeCell ref="B16:D16"/>
    <mergeCell ref="E16:F16"/>
    <mergeCell ref="B17:D17"/>
    <mergeCell ref="E17:F17"/>
    <mergeCell ref="K15:L15"/>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A31:B31"/>
    <mergeCell ref="C31:D31"/>
    <mergeCell ref="K31:L31"/>
    <mergeCell ref="B25:D25"/>
    <mergeCell ref="E25:F25"/>
    <mergeCell ref="B26:D26"/>
    <mergeCell ref="E26:F26"/>
    <mergeCell ref="B27:D27"/>
    <mergeCell ref="E27:F27"/>
    <mergeCell ref="B28:D28"/>
    <mergeCell ref="E28:F28"/>
    <mergeCell ref="A30:B30"/>
    <mergeCell ref="C30:D30"/>
    <mergeCell ref="K30:L30"/>
    <mergeCell ref="C46:F46"/>
    <mergeCell ref="A48:G50"/>
    <mergeCell ref="A52:D52"/>
    <mergeCell ref="K32:L32"/>
    <mergeCell ref="K33:L33"/>
    <mergeCell ref="K38:L38"/>
    <mergeCell ref="A39:B39"/>
    <mergeCell ref="C39:J39"/>
    <mergeCell ref="A40:J40"/>
  </mergeCells>
  <dataValidations count="2">
    <dataValidation type="list" allowBlank="1" showInputMessage="1" showErrorMessage="1" sqref="H17:H28" xr:uid="{00000000-0002-0000-1300-000000000000}">
      <formula1>$P$5:$P$7</formula1>
    </dataValidation>
    <dataValidation type="list" allowBlank="1" showInputMessage="1" showErrorMessage="1" sqref="B1:F1" xr:uid="{00000000-0002-0000-1300-000001000000}">
      <formula1>$V$1:$W$1</formula1>
    </dataValidation>
  </dataValidations>
  <printOptions horizontalCentered="1"/>
  <pageMargins left="0.51181102362204722" right="0.51181102362204722" top="0.51181102362204722" bottom="0.51181102362204722" header="0.51181102362204722" footer="0.23622047244094491"/>
  <pageSetup scale="65" fitToHeight="0" orientation="portrait"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7">
    <pageSetUpPr fitToPage="1"/>
  </sheetPr>
  <dimension ref="A1:Y52"/>
  <sheetViews>
    <sheetView showGridLines="0" topLeftCell="F1" zoomScale="85" zoomScaleNormal="85" workbookViewId="0">
      <selection activeCell="T485" sqref="T485"/>
    </sheetView>
  </sheetViews>
  <sheetFormatPr defaultRowHeight="15" x14ac:dyDescent="0.3"/>
  <cols>
    <col min="1" max="3" width="11.42578125" customWidth="1"/>
    <col min="4" max="4" width="13.5703125" customWidth="1"/>
    <col min="5" max="5" width="11.42578125" customWidth="1"/>
    <col min="6" max="6" width="17" customWidth="1"/>
    <col min="7" max="7" width="8.140625" bestFit="1" customWidth="1"/>
    <col min="8" max="8" width="8.140625" customWidth="1"/>
    <col min="9" max="12" width="11.42578125" customWidth="1"/>
    <col min="13" max="13" width="16.85546875" customWidth="1"/>
    <col min="14" max="14" width="10.85546875" bestFit="1" customWidth="1"/>
    <col min="15" max="15" width="9.85546875" bestFit="1" customWidth="1"/>
    <col min="18" max="18" width="11.85546875" bestFit="1" customWidth="1"/>
    <col min="22" max="22" width="13.7109375" bestFit="1" customWidth="1"/>
  </cols>
  <sheetData>
    <row r="1" spans="1:25" ht="78" customHeight="1" x14ac:dyDescent="0.45">
      <c r="A1" s="8"/>
      <c r="B1" s="306" t="s">
        <v>108</v>
      </c>
      <c r="C1" s="306"/>
      <c r="D1" s="306"/>
      <c r="E1" s="306"/>
      <c r="F1" s="306"/>
      <c r="G1" s="84"/>
      <c r="H1" s="84"/>
      <c r="I1" s="84"/>
      <c r="J1" s="84"/>
      <c r="K1" s="84"/>
      <c r="L1" s="84"/>
      <c r="M1" s="30" t="s">
        <v>7</v>
      </c>
      <c r="V1" s="87" t="s">
        <v>74</v>
      </c>
      <c r="W1" s="88" t="s">
        <v>108</v>
      </c>
      <c r="X1" s="38" t="s">
        <v>69</v>
      </c>
      <c r="Y1" s="38" t="s">
        <v>109</v>
      </c>
    </row>
    <row r="2" spans="1:25" ht="16.5" x14ac:dyDescent="0.3">
      <c r="A2" s="38" t="str">
        <f>IF(B1=V1,X1,Y1)</f>
        <v>SINOCHEM TIANJIN CO., LTD</v>
      </c>
      <c r="B2" s="39"/>
      <c r="C2" s="39"/>
      <c r="D2" s="9"/>
      <c r="E2" s="9"/>
      <c r="F2" s="9"/>
      <c r="G2" s="9"/>
      <c r="H2" s="9"/>
      <c r="I2" s="9"/>
      <c r="J2" s="35"/>
      <c r="K2" s="36" t="s">
        <v>45</v>
      </c>
      <c r="L2" s="307">
        <v>42278</v>
      </c>
      <c r="M2" s="308"/>
      <c r="X2" s="89" t="s">
        <v>110</v>
      </c>
      <c r="Y2" s="89" t="s">
        <v>111</v>
      </c>
    </row>
    <row r="3" spans="1:25" ht="16.5" x14ac:dyDescent="0.3">
      <c r="A3" s="40" t="s">
        <v>11</v>
      </c>
      <c r="B3" s="41"/>
      <c r="C3" s="41"/>
      <c r="D3" s="10"/>
      <c r="E3" s="10"/>
      <c r="F3" s="10"/>
      <c r="G3" s="10"/>
      <c r="H3" s="10"/>
      <c r="I3" s="10"/>
      <c r="J3" s="37"/>
      <c r="K3" s="36" t="s">
        <v>44</v>
      </c>
      <c r="L3" s="307" t="s">
        <v>96</v>
      </c>
      <c r="M3" s="308"/>
      <c r="X3" s="38" t="s">
        <v>112</v>
      </c>
      <c r="Y3" s="38" t="s">
        <v>113</v>
      </c>
    </row>
    <row r="4" spans="1:25" ht="15" customHeight="1" x14ac:dyDescent="0.3">
      <c r="A4" s="40" t="s">
        <v>12</v>
      </c>
      <c r="B4" s="41"/>
      <c r="C4" s="41"/>
      <c r="D4" s="9"/>
      <c r="E4" s="9"/>
      <c r="F4" s="9"/>
      <c r="G4" s="9"/>
      <c r="H4" s="9"/>
      <c r="I4" s="9"/>
      <c r="J4" s="35"/>
      <c r="K4" s="36" t="s">
        <v>47</v>
      </c>
      <c r="L4" s="79" t="s">
        <v>98</v>
      </c>
      <c r="M4" s="77" t="s">
        <v>114</v>
      </c>
    </row>
    <row r="5" spans="1:25" ht="16.5" x14ac:dyDescent="0.3">
      <c r="A5" s="40" t="s">
        <v>10</v>
      </c>
      <c r="B5" s="41"/>
      <c r="C5" s="41"/>
      <c r="D5" s="9"/>
      <c r="E5" s="9"/>
      <c r="F5" s="9"/>
      <c r="G5" s="9"/>
      <c r="H5" s="9"/>
      <c r="I5" s="9"/>
      <c r="J5" s="309"/>
      <c r="K5" s="309"/>
      <c r="L5" s="310"/>
      <c r="M5" s="311"/>
      <c r="P5" t="s">
        <v>105</v>
      </c>
    </row>
    <row r="6" spans="1:25" ht="16.5" x14ac:dyDescent="0.3">
      <c r="A6" s="40" t="s">
        <v>9</v>
      </c>
      <c r="B6" s="41"/>
      <c r="C6" s="41"/>
      <c r="D6" s="9"/>
      <c r="E6" s="9"/>
      <c r="F6" s="9"/>
      <c r="G6" s="9"/>
      <c r="H6" s="9"/>
      <c r="I6" s="9"/>
      <c r="J6" s="9"/>
      <c r="K6" s="9"/>
      <c r="L6" s="9"/>
      <c r="M6" s="11"/>
      <c r="P6" t="s">
        <v>106</v>
      </c>
    </row>
    <row r="7" spans="1:25" x14ac:dyDescent="0.3">
      <c r="A7" s="12"/>
      <c r="B7" s="1"/>
      <c r="C7" s="1"/>
      <c r="D7" s="9"/>
      <c r="E7" s="9"/>
      <c r="F7" s="9"/>
      <c r="G7" s="9"/>
      <c r="H7" s="9"/>
      <c r="I7" s="9"/>
      <c r="J7" s="9"/>
      <c r="K7" s="9"/>
      <c r="L7" s="9"/>
      <c r="M7" s="11"/>
      <c r="P7" t="s">
        <v>89</v>
      </c>
    </row>
    <row r="8" spans="1:25" x14ac:dyDescent="0.3">
      <c r="A8" s="12"/>
      <c r="B8" s="1"/>
      <c r="C8" s="1"/>
      <c r="D8" s="1"/>
      <c r="E8" s="1"/>
      <c r="F8" s="1"/>
      <c r="G8" s="1"/>
      <c r="H8" s="1"/>
      <c r="I8" s="1"/>
      <c r="J8" s="1"/>
      <c r="K8" s="1"/>
      <c r="L8" s="1"/>
      <c r="M8" s="11"/>
    </row>
    <row r="9" spans="1:25" ht="16.5" x14ac:dyDescent="0.3">
      <c r="A9" s="13" t="s">
        <v>1</v>
      </c>
      <c r="B9" s="3"/>
      <c r="C9" s="3"/>
      <c r="D9" s="3"/>
      <c r="E9" s="3"/>
      <c r="F9" s="3"/>
      <c r="G9" s="3"/>
      <c r="H9" s="3"/>
      <c r="I9" s="3"/>
      <c r="J9" s="3"/>
      <c r="K9" s="3"/>
      <c r="L9" s="3" t="s">
        <v>31</v>
      </c>
      <c r="M9" s="34"/>
    </row>
    <row r="10" spans="1:25" ht="16.5" x14ac:dyDescent="0.3">
      <c r="A10" s="40" t="s">
        <v>88</v>
      </c>
      <c r="B10" s="41"/>
      <c r="C10" s="41"/>
      <c r="D10" s="9"/>
      <c r="E10" s="9"/>
      <c r="F10" s="9"/>
      <c r="G10" s="9"/>
      <c r="H10" s="9"/>
      <c r="I10" s="9"/>
      <c r="J10" s="9"/>
      <c r="K10" s="299" t="s">
        <v>32</v>
      </c>
      <c r="L10" s="299"/>
      <c r="M10" s="59" t="s">
        <v>34</v>
      </c>
    </row>
    <row r="11" spans="1:25" ht="16.5" customHeight="1" x14ac:dyDescent="0.3">
      <c r="A11" s="40" t="s">
        <v>86</v>
      </c>
      <c r="B11" s="41"/>
      <c r="C11" s="41"/>
      <c r="D11" s="9"/>
      <c r="E11" s="9"/>
      <c r="F11" s="9"/>
      <c r="G11" s="9"/>
      <c r="H11" s="9"/>
      <c r="I11" s="9"/>
      <c r="J11" s="9"/>
      <c r="K11" s="299" t="s">
        <v>42</v>
      </c>
      <c r="L11" s="299"/>
      <c r="M11" s="59" t="s">
        <v>43</v>
      </c>
    </row>
    <row r="12" spans="1:25" ht="16.5" customHeight="1" x14ac:dyDescent="0.3">
      <c r="A12" s="40" t="s">
        <v>87</v>
      </c>
      <c r="B12" s="41"/>
      <c r="C12" s="41"/>
      <c r="D12" s="9"/>
      <c r="E12" s="9"/>
      <c r="F12" s="9"/>
      <c r="G12" s="9"/>
      <c r="H12" s="9"/>
      <c r="I12" s="9"/>
      <c r="J12" s="9"/>
      <c r="K12" s="299" t="s">
        <v>41</v>
      </c>
      <c r="L12" s="299"/>
      <c r="M12" s="61">
        <f xml:space="preserve"> K29</f>
        <v>12720</v>
      </c>
      <c r="W12" t="s">
        <v>80</v>
      </c>
      <c r="Y12" t="s">
        <v>36</v>
      </c>
    </row>
    <row r="13" spans="1:25" ht="16.5" customHeight="1" x14ac:dyDescent="0.3">
      <c r="A13" s="40" t="s">
        <v>85</v>
      </c>
      <c r="B13" s="41"/>
      <c r="C13" s="41"/>
      <c r="D13" s="9"/>
      <c r="E13" s="9"/>
      <c r="F13" s="9"/>
      <c r="G13" s="9"/>
      <c r="H13" s="9"/>
      <c r="I13" s="9"/>
      <c r="J13" s="9"/>
      <c r="K13" s="299" t="s">
        <v>35</v>
      </c>
      <c r="L13" s="299"/>
      <c r="M13" s="60" t="str">
        <f>IF(K29/J29=1.06,"Cartons",IF(K29/J29&gt;=1.12,"Drums","Cartons &amp; Drums"))</f>
        <v>Cartons</v>
      </c>
      <c r="O13" s="215" t="s">
        <v>77</v>
      </c>
      <c r="P13" s="215"/>
      <c r="Q13" s="83"/>
      <c r="R13" s="64" t="s">
        <v>78</v>
      </c>
      <c r="S13" s="65" t="s">
        <v>76</v>
      </c>
      <c r="T13" t="s">
        <v>95</v>
      </c>
      <c r="V13" s="51" t="s">
        <v>75</v>
      </c>
      <c r="W13" s="50">
        <v>19800</v>
      </c>
      <c r="Y13" t="s">
        <v>67</v>
      </c>
    </row>
    <row r="14" spans="1:25" ht="16.5" customHeight="1" x14ac:dyDescent="0.3">
      <c r="A14" s="42" t="s">
        <v>84</v>
      </c>
      <c r="B14" s="43"/>
      <c r="C14" s="41"/>
      <c r="D14" s="9"/>
      <c r="E14" s="9"/>
      <c r="F14" s="9"/>
      <c r="G14" s="9"/>
      <c r="H14" s="9"/>
      <c r="I14" s="9"/>
      <c r="J14" s="9"/>
      <c r="K14" s="299" t="s">
        <v>33</v>
      </c>
      <c r="L14" s="299"/>
      <c r="M14" s="60">
        <f>J29/25</f>
        <v>480</v>
      </c>
      <c r="O14" s="215"/>
      <c r="P14" s="215"/>
      <c r="Q14" s="83"/>
      <c r="R14" s="83">
        <v>0.5</v>
      </c>
      <c r="S14" s="66"/>
      <c r="T14">
        <v>1</v>
      </c>
      <c r="V14" s="51" t="s">
        <v>76</v>
      </c>
      <c r="W14" s="50">
        <v>15000</v>
      </c>
      <c r="Y14" t="s">
        <v>91</v>
      </c>
    </row>
    <row r="15" spans="1:25" ht="12" customHeight="1" x14ac:dyDescent="0.3">
      <c r="A15" s="12"/>
      <c r="B15" s="1"/>
      <c r="C15" s="43"/>
      <c r="D15" s="1"/>
      <c r="E15" s="1"/>
      <c r="F15" s="1"/>
      <c r="G15" s="1"/>
      <c r="H15" s="1"/>
      <c r="I15" s="1"/>
      <c r="J15" s="1"/>
      <c r="K15" s="299"/>
      <c r="L15" s="299"/>
      <c r="M15" s="59"/>
      <c r="Y15" t="s">
        <v>89</v>
      </c>
    </row>
    <row r="16" spans="1:25" ht="48.75" customHeight="1" x14ac:dyDescent="0.3">
      <c r="A16" s="31" t="s">
        <v>17</v>
      </c>
      <c r="B16" s="312" t="s">
        <v>0</v>
      </c>
      <c r="C16" s="312"/>
      <c r="D16" s="312"/>
      <c r="E16" s="312" t="s">
        <v>39</v>
      </c>
      <c r="F16" s="312"/>
      <c r="G16" s="32" t="s">
        <v>18</v>
      </c>
      <c r="H16" s="32" t="s">
        <v>104</v>
      </c>
      <c r="I16" s="32" t="s">
        <v>19</v>
      </c>
      <c r="J16" s="32" t="s">
        <v>20</v>
      </c>
      <c r="K16" s="32" t="s">
        <v>23</v>
      </c>
      <c r="L16" s="32" t="s">
        <v>49</v>
      </c>
      <c r="M16" s="33" t="s">
        <v>50</v>
      </c>
      <c r="O16" s="32" t="s">
        <v>72</v>
      </c>
      <c r="P16" s="32" t="s">
        <v>81</v>
      </c>
      <c r="Q16" s="32" t="s">
        <v>94</v>
      </c>
      <c r="R16" s="32" t="s">
        <v>93</v>
      </c>
      <c r="S16" s="32" t="s">
        <v>73</v>
      </c>
    </row>
    <row r="17" spans="1:23" s="50" customFormat="1" ht="30" customHeight="1" x14ac:dyDescent="0.3">
      <c r="A17" s="67">
        <v>2992</v>
      </c>
      <c r="B17" s="290" t="e">
        <f>IF(A17:A28="","",IF(L$4="sys/",VLOOKUP(A17:A28,#REF!,4,FALSE)))</f>
        <v>#REF!</v>
      </c>
      <c r="C17" s="291"/>
      <c r="D17" s="292"/>
      <c r="E17" s="293" t="e">
        <f>IF(A17:A28="","",IF(L$4="sys/",VLOOKUP(A17:A28,#REF!,7,FALSE)))</f>
        <v>#REF!</v>
      </c>
      <c r="F17" s="294"/>
      <c r="G17" s="53" t="e">
        <f>IF(A17:A28="","",IF(L$4="sys/",VLOOKUP(A17:A28,#REF!,9,FALSE)))</f>
        <v>#REF!</v>
      </c>
      <c r="H17" s="53" t="s">
        <v>105</v>
      </c>
      <c r="I17" s="53" t="e">
        <f>IF(A17:A28="","",IF(L$4="sys/",VLOOKUP(A17:A28,#REF!,8,FALSE)))</f>
        <v>#REF!</v>
      </c>
      <c r="J17" s="52">
        <v>12000</v>
      </c>
      <c r="K17" s="52">
        <f>IF(H17="","",IF(H17="carton",(J17*26.5/25),IF(H17="drum",J17*28/25,IF(H17="bale",0))))</f>
        <v>12720</v>
      </c>
      <c r="L17" s="86" t="str">
        <f>FIXED(O17-(M$31/J$29),2,1)</f>
        <v>37.18</v>
      </c>
      <c r="M17" s="74">
        <f>J17*L17</f>
        <v>446160</v>
      </c>
      <c r="N17" s="49"/>
      <c r="O17" s="70">
        <v>38</v>
      </c>
      <c r="P17" s="48"/>
      <c r="Q17" s="73"/>
      <c r="R17" s="63" t="e">
        <f>(O17-P17)/P17+Q17</f>
        <v>#DIV/0!</v>
      </c>
      <c r="S17" s="50" t="e">
        <f>O17*J17*R17</f>
        <v>#DIV/0!</v>
      </c>
      <c r="T17" s="50">
        <f>O17*J17</f>
        <v>456000</v>
      </c>
    </row>
    <row r="18" spans="1:23" s="50" customFormat="1" ht="30" customHeight="1" thickBot="1" x14ac:dyDescent="0.35">
      <c r="A18" s="68"/>
      <c r="B18" s="290" t="str">
        <f>IF(A18:A29="","",IF(L$4="sys/",VLOOKUP(A18:A29,#REF!,4,FALSE)))</f>
        <v/>
      </c>
      <c r="C18" s="291"/>
      <c r="D18" s="292"/>
      <c r="E18" s="293" t="str">
        <f>IF(A18:A29="","",IF(L$4="sys/",VLOOKUP(A18:A29,#REF!,7,FALSE)))</f>
        <v/>
      </c>
      <c r="F18" s="294"/>
      <c r="G18" s="53" t="str">
        <f>IF(A18:A29="","",IF(L$4="sys/",VLOOKUP(A18:A29,#REF!,9,FALSE)))</f>
        <v/>
      </c>
      <c r="H18" s="53"/>
      <c r="I18" s="53" t="str">
        <f>IF(A18:A29="","",IF(L$4="sys/",VLOOKUP(A18:A29,#REF!,8,FALSE)))</f>
        <v/>
      </c>
      <c r="J18" s="53"/>
      <c r="K18" s="53" t="str">
        <f t="shared" ref="K18:K28" si="0">IF(H18="","",IF(H18="carton",(J18*26.5/25),IF(H18="drum",J18*28/25,IF(H18="bale",0))))</f>
        <v/>
      </c>
      <c r="L18" s="85"/>
      <c r="M18" s="74"/>
      <c r="N18" s="49"/>
      <c r="O18" s="70"/>
      <c r="P18" s="48"/>
      <c r="Q18" s="73"/>
      <c r="R18" s="63" t="e">
        <f>(O18-P18)/P18+Q18</f>
        <v>#DIV/0!</v>
      </c>
      <c r="S18" s="50" t="e">
        <f>O18*J18*R18</f>
        <v>#DIV/0!</v>
      </c>
      <c r="T18" s="50">
        <f>O18*J18</f>
        <v>0</v>
      </c>
    </row>
    <row r="19" spans="1:23" s="50" customFormat="1" ht="30" customHeight="1" x14ac:dyDescent="0.3">
      <c r="A19" s="68"/>
      <c r="B19" s="290" t="str">
        <f>IF(A19:A30="","",IF(L$4="sys/",VLOOKUP(A19:A30,#REF!,4,FALSE)))</f>
        <v/>
      </c>
      <c r="C19" s="291"/>
      <c r="D19" s="292"/>
      <c r="E19" s="293" t="str">
        <f>IF(A19:A30="","",IF(L$4="sys/",VLOOKUP(A19:A30,#REF!,7,FALSE)))</f>
        <v/>
      </c>
      <c r="F19" s="294"/>
      <c r="G19" s="53" t="str">
        <f>IF(A19:A30="","",IF(L$4="sys/",VLOOKUP(A19:A30,#REF!,9,FALSE)))</f>
        <v/>
      </c>
      <c r="H19" s="53"/>
      <c r="I19" s="53" t="str">
        <f>IF(A19:A30="","",IF(L$4="sys/",VLOOKUP(A19:A30,#REF!,8,FALSE)))</f>
        <v/>
      </c>
      <c r="J19" s="53"/>
      <c r="K19" s="53" t="str">
        <f t="shared" si="0"/>
        <v/>
      </c>
      <c r="L19" s="85"/>
      <c r="M19" s="74"/>
      <c r="N19" s="49"/>
      <c r="O19" s="70"/>
      <c r="P19" s="48"/>
      <c r="Q19" s="73"/>
      <c r="R19" s="63" t="e">
        <f>(O19-P19)/P19+Q19</f>
        <v>#DIV/0!</v>
      </c>
      <c r="S19" s="50" t="e">
        <f>O19*J19*R19</f>
        <v>#DIV/0!</v>
      </c>
      <c r="T19" s="50">
        <f>O19*J19</f>
        <v>0</v>
      </c>
      <c r="V19" s="87"/>
      <c r="W19" s="88"/>
    </row>
    <row r="20" spans="1:23" s="50" customFormat="1" ht="30" customHeight="1" x14ac:dyDescent="0.3">
      <c r="A20" s="68"/>
      <c r="B20" s="290" t="str">
        <f>IF(A20:A31="","",IF(L$4="sys/",VLOOKUP(A20:A31,#REF!,4,FALSE)))</f>
        <v/>
      </c>
      <c r="C20" s="291"/>
      <c r="D20" s="292"/>
      <c r="E20" s="293" t="str">
        <f>IF(A20:A31="","",IF(L$4="sys/",VLOOKUP(A20:A31,#REF!,7,FALSE)))</f>
        <v/>
      </c>
      <c r="F20" s="294"/>
      <c r="G20" s="53" t="str">
        <f>IF(A20:A31="","",IF(L$4="sys/",VLOOKUP(A20:A31,#REF!,9,FALSE)))</f>
        <v/>
      </c>
      <c r="H20" s="53"/>
      <c r="I20" s="53" t="str">
        <f>IF(A20:A31="","",IF(L$4="sys/",VLOOKUP(A20:A31,#REF!,8,FALSE)))</f>
        <v/>
      </c>
      <c r="J20" s="53"/>
      <c r="K20" s="53" t="str">
        <f t="shared" si="0"/>
        <v/>
      </c>
      <c r="L20" s="85"/>
      <c r="M20" s="74"/>
      <c r="N20" s="49"/>
      <c r="O20" s="70"/>
      <c r="P20" s="48"/>
      <c r="Q20" s="73"/>
      <c r="R20" s="63" t="e">
        <f>(O20-P20)/P20+Q20</f>
        <v>#DIV/0!</v>
      </c>
      <c r="S20" s="50" t="e">
        <f>O20*J20*R20</f>
        <v>#DIV/0!</v>
      </c>
      <c r="T20" s="50">
        <f>O20*J20</f>
        <v>0</v>
      </c>
    </row>
    <row r="21" spans="1:23" s="50" customFormat="1" ht="30" customHeight="1" x14ac:dyDescent="0.3">
      <c r="A21" s="68"/>
      <c r="B21" s="290" t="str">
        <f>IF(A21:A32="","",IF(L$4="sys/",VLOOKUP(A21:A32,#REF!,4,FALSE)))</f>
        <v/>
      </c>
      <c r="C21" s="291"/>
      <c r="D21" s="292"/>
      <c r="E21" s="293" t="str">
        <f>IF(A21:A32="","",IF(L$4="sys/",VLOOKUP(A21:A32,#REF!,7,FALSE)))</f>
        <v/>
      </c>
      <c r="F21" s="294"/>
      <c r="G21" s="53" t="str">
        <f>IF(A21:A32="","",IF(L$4="sys/",VLOOKUP(A21:A32,#REF!,9,FALSE)))</f>
        <v/>
      </c>
      <c r="H21" s="53"/>
      <c r="I21" s="53" t="str">
        <f>IF(A21:A32="","",IF(L$4="sys/",VLOOKUP(A21:A32,#REF!,8,FALSE)))</f>
        <v/>
      </c>
      <c r="J21" s="53"/>
      <c r="K21" s="53" t="str">
        <f t="shared" si="0"/>
        <v/>
      </c>
      <c r="L21" s="85"/>
      <c r="M21" s="74"/>
      <c r="N21" s="49"/>
      <c r="O21" s="70"/>
      <c r="P21" s="48"/>
      <c r="Q21" s="73"/>
      <c r="R21" s="63" t="e">
        <f>(#REF!-P21)/P21+Q21</f>
        <v>#REF!</v>
      </c>
      <c r="S21" s="50" t="e">
        <f>#REF!*#REF!*R21</f>
        <v>#REF!</v>
      </c>
      <c r="T21" s="50" t="e">
        <f>#REF!*#REF!</f>
        <v>#REF!</v>
      </c>
      <c r="V21" s="51"/>
    </row>
    <row r="22" spans="1:23" s="50" customFormat="1" ht="30" customHeight="1" x14ac:dyDescent="0.3">
      <c r="A22" s="68"/>
      <c r="B22" s="290" t="str">
        <f>IF(A22:A33="","",IF(L$4="sys/",VLOOKUP(A22:A33,#REF!,4,FALSE)))</f>
        <v/>
      </c>
      <c r="C22" s="291"/>
      <c r="D22" s="292"/>
      <c r="E22" s="293" t="str">
        <f>IF(A22:A33="","",IF(L$4="sys/",VLOOKUP(A22:A33,#REF!,7,FALSE)))</f>
        <v/>
      </c>
      <c r="F22" s="294"/>
      <c r="G22" s="53" t="str">
        <f>IF(A22:A33="","",IF(L$4="sys/",VLOOKUP(A22:A33,#REF!,9,FALSE)))</f>
        <v/>
      </c>
      <c r="H22" s="53"/>
      <c r="I22" s="53" t="str">
        <f>IF(A22:A33="","",IF(L$4="sys/",VLOOKUP(A22:A33,#REF!,8,FALSE)))</f>
        <v/>
      </c>
      <c r="J22" s="53"/>
      <c r="K22" s="53" t="str">
        <f t="shared" si="0"/>
        <v/>
      </c>
      <c r="L22" s="85"/>
      <c r="M22" s="74"/>
      <c r="N22" s="49"/>
      <c r="P22" s="48"/>
      <c r="Q22" s="73"/>
      <c r="R22" s="63" t="e">
        <f t="shared" ref="R22:R27" si="1">(O21-P22)/P22+Q22</f>
        <v>#DIV/0!</v>
      </c>
      <c r="S22" s="50" t="e">
        <f>O21*J21*R22</f>
        <v>#DIV/0!</v>
      </c>
      <c r="T22" s="50">
        <f>O21*J21</f>
        <v>0</v>
      </c>
      <c r="V22" s="51">
        <f>M38*5.5%</f>
        <v>25083.3</v>
      </c>
    </row>
    <row r="23" spans="1:23" s="50" customFormat="1" ht="30" customHeight="1" x14ac:dyDescent="0.3">
      <c r="A23" s="68"/>
      <c r="B23" s="290" t="str">
        <f>IF(A23:A34="","",IF(L$4="sys/",VLOOKUP(A23:A34,#REF!,4,FALSE)))</f>
        <v/>
      </c>
      <c r="C23" s="291"/>
      <c r="D23" s="292"/>
      <c r="E23" s="293" t="str">
        <f>IF(A23:A34="","",IF(L$4="sys/",VLOOKUP(A23:A34,#REF!,7,FALSE)))</f>
        <v/>
      </c>
      <c r="F23" s="294"/>
      <c r="G23" s="53" t="str">
        <f>IF(A23:A34="","",IF(L$4="sys/",VLOOKUP(A23:A34,#REF!,9,FALSE)))</f>
        <v/>
      </c>
      <c r="H23" s="53"/>
      <c r="I23" s="53" t="str">
        <f>IF(A23:A34="","",IF(L$4="sys/",VLOOKUP(A23:A34,#REF!,8,FALSE)))</f>
        <v/>
      </c>
      <c r="J23" s="53"/>
      <c r="K23" s="53" t="str">
        <f t="shared" si="0"/>
        <v/>
      </c>
      <c r="L23" s="85"/>
      <c r="M23" s="74"/>
      <c r="N23" s="49"/>
      <c r="Q23" s="73"/>
      <c r="R23" s="63" t="e">
        <f t="shared" si="1"/>
        <v>#DIV/0!</v>
      </c>
      <c r="S23" s="50" t="e">
        <f>O22*J22*R23</f>
        <v>#DIV/0!</v>
      </c>
      <c r="T23" s="50">
        <f>O22*J22</f>
        <v>0</v>
      </c>
      <c r="V23" s="51" t="e">
        <f>S29-V22</f>
        <v>#DIV/0!</v>
      </c>
    </row>
    <row r="24" spans="1:23" s="50" customFormat="1" ht="30" customHeight="1" x14ac:dyDescent="0.3">
      <c r="A24" s="68"/>
      <c r="B24" s="290" t="str">
        <f>IF(A24:A35="","",IF(L$4="sys/",VLOOKUP(A24:A35,#REF!,4,FALSE)))</f>
        <v/>
      </c>
      <c r="C24" s="291"/>
      <c r="D24" s="292"/>
      <c r="E24" s="293" t="str">
        <f>IF(A24:A35="","",IF(L$4="sys/",VLOOKUP(A24:A35,#REF!,7,FALSE)))</f>
        <v/>
      </c>
      <c r="F24" s="294"/>
      <c r="G24" s="53" t="str">
        <f>IF(A24:A35="","",IF(L$4="sys/",VLOOKUP(A24:A35,#REF!,9,FALSE)))</f>
        <v/>
      </c>
      <c r="H24" s="53"/>
      <c r="I24" s="53" t="str">
        <f>IF(A24:A35="","",IF(L$4="sys/",VLOOKUP(A24:A35,#REF!,8,FALSE)))</f>
        <v/>
      </c>
      <c r="J24" s="53"/>
      <c r="K24" s="53" t="str">
        <f t="shared" si="0"/>
        <v/>
      </c>
      <c r="L24" s="85"/>
      <c r="M24" s="74"/>
      <c r="N24" s="49"/>
      <c r="Q24" s="73"/>
      <c r="R24" s="63" t="e">
        <f t="shared" si="1"/>
        <v>#DIV/0!</v>
      </c>
      <c r="S24" s="50" t="e">
        <f>O23*J23*R24</f>
        <v>#DIV/0!</v>
      </c>
      <c r="T24" s="50">
        <f>O23*J23</f>
        <v>0</v>
      </c>
      <c r="V24" s="51"/>
    </row>
    <row r="25" spans="1:23" s="50" customFormat="1" ht="30" customHeight="1" x14ac:dyDescent="0.3">
      <c r="A25" s="68"/>
      <c r="B25" s="290" t="str">
        <f>IF(A25:A36="","",IF(L$4="sys/",VLOOKUP(A25:A36,#REF!,4,FALSE)))</f>
        <v/>
      </c>
      <c r="C25" s="291"/>
      <c r="D25" s="292"/>
      <c r="E25" s="293" t="str">
        <f>IF(A25:A36="","",IF(L$4="sys/",VLOOKUP(A25:A36,#REF!,7,FALSE)))</f>
        <v/>
      </c>
      <c r="F25" s="294"/>
      <c r="G25" s="53" t="str">
        <f>IF(A25:A36="","",IF(L$4="sys/",VLOOKUP(A25:A36,#REF!,9,FALSE)))</f>
        <v/>
      </c>
      <c r="H25" s="53"/>
      <c r="I25" s="53" t="str">
        <f>IF(A25:A36="","",IF(L$4="sys/",VLOOKUP(A25:A36,#REF!,8,FALSE)))</f>
        <v/>
      </c>
      <c r="J25" s="53"/>
      <c r="K25" s="53" t="str">
        <f t="shared" si="0"/>
        <v/>
      </c>
      <c r="L25" s="85"/>
      <c r="M25" s="74"/>
      <c r="N25" s="49"/>
      <c r="Q25" s="73"/>
      <c r="R25" s="63" t="e">
        <f t="shared" si="1"/>
        <v>#DIV/0!</v>
      </c>
      <c r="S25" s="50" t="e">
        <f>O24*J24*R25</f>
        <v>#DIV/0!</v>
      </c>
      <c r="T25" s="50">
        <f>O24*J24</f>
        <v>0</v>
      </c>
      <c r="V25" s="51"/>
    </row>
    <row r="26" spans="1:23" s="50" customFormat="1" ht="30" customHeight="1" x14ac:dyDescent="0.3">
      <c r="A26" s="68"/>
      <c r="B26" s="290" t="str">
        <f>IF(A26:A37="","",IF(L$4="sys/",VLOOKUP(A26:A37,#REF!,4,FALSE)))</f>
        <v/>
      </c>
      <c r="C26" s="291"/>
      <c r="D26" s="292"/>
      <c r="E26" s="293" t="str">
        <f>IF(A26:A37="","",IF(L$4="sys/",VLOOKUP(A26:A37,#REF!,7,FALSE)))</f>
        <v/>
      </c>
      <c r="F26" s="294"/>
      <c r="G26" s="53" t="str">
        <f>IF(A26:A37="","",IF(L$4="sys/",VLOOKUP(A26:A37,#REF!,9,FALSE)))</f>
        <v/>
      </c>
      <c r="H26" s="53"/>
      <c r="I26" s="53" t="str">
        <f>IF(A26:A37="","",IF(L$4="sys/",VLOOKUP(A26:A37,#REF!,8,FALSE)))</f>
        <v/>
      </c>
      <c r="J26" s="53"/>
      <c r="K26" s="53" t="str">
        <f t="shared" si="0"/>
        <v/>
      </c>
      <c r="L26" s="85"/>
      <c r="M26" s="74"/>
      <c r="N26" s="49"/>
      <c r="Q26" s="73"/>
      <c r="R26" s="63" t="e">
        <f t="shared" si="1"/>
        <v>#DIV/0!</v>
      </c>
      <c r="S26" s="50" t="e">
        <f>O25*J25*R26</f>
        <v>#DIV/0!</v>
      </c>
      <c r="V26" s="51"/>
    </row>
    <row r="27" spans="1:23" s="50" customFormat="1" ht="30" customHeight="1" x14ac:dyDescent="0.3">
      <c r="A27" s="68"/>
      <c r="B27" s="290" t="str">
        <f>IF(A27:A38="","",IF(L$4="sys/",VLOOKUP(A27:A38,#REF!,4,FALSE)))</f>
        <v/>
      </c>
      <c r="C27" s="291"/>
      <c r="D27" s="292"/>
      <c r="E27" s="293" t="str">
        <f>IF(A27:A38="","",IF(L$4="sys/",VLOOKUP(A27:A38,#REF!,7,FALSE)))</f>
        <v/>
      </c>
      <c r="F27" s="294"/>
      <c r="G27" s="53" t="str">
        <f>IF(A27:A38="","",IF(L$4="sys/",VLOOKUP(A27:A38,#REF!,9,FALSE)))</f>
        <v/>
      </c>
      <c r="H27" s="53"/>
      <c r="I27" s="53" t="str">
        <f>IF(A27:A38="","",IF(L$4="sys/",VLOOKUP(A27:A38,#REF!,8,FALSE)))</f>
        <v/>
      </c>
      <c r="J27" s="53"/>
      <c r="K27" s="53" t="str">
        <f t="shared" si="0"/>
        <v/>
      </c>
      <c r="L27" s="85"/>
      <c r="M27" s="74"/>
      <c r="N27" s="49"/>
      <c r="Q27" s="73"/>
      <c r="R27" s="63" t="e">
        <f t="shared" si="1"/>
        <v>#DIV/0!</v>
      </c>
      <c r="S27" s="50" t="e">
        <f>O26*J27*R27</f>
        <v>#DIV/0!</v>
      </c>
      <c r="V27" s="51"/>
    </row>
    <row r="28" spans="1:23" s="50" customFormat="1" ht="30" customHeight="1" x14ac:dyDescent="0.3">
      <c r="A28" s="68"/>
      <c r="B28" s="290" t="str">
        <f>IF(A28:A39="","",IF(L$4="sys/",VLOOKUP(A28:A39,#REF!,4,FALSE)))</f>
        <v/>
      </c>
      <c r="C28" s="291"/>
      <c r="D28" s="292"/>
      <c r="E28" s="293" t="str">
        <f>IF(A28:A39="","",IF(L$4="sys/",VLOOKUP(A28:A39,#REF!,7,FALSE)))</f>
        <v/>
      </c>
      <c r="F28" s="294"/>
      <c r="G28" s="53" t="str">
        <f>IF(A28:A39="","",IF(L$4="sys/",VLOOKUP(A28:A39,#REF!,9,FALSE)))</f>
        <v/>
      </c>
      <c r="H28" s="53"/>
      <c r="I28" s="53" t="str">
        <f>IF(A28:A39="","",IF(L$4="sys/",VLOOKUP(A28:A39,#REF!,8,FALSE)))</f>
        <v/>
      </c>
      <c r="J28" s="53"/>
      <c r="K28" s="53" t="str">
        <f t="shared" si="0"/>
        <v/>
      </c>
      <c r="L28" s="85"/>
      <c r="M28" s="74"/>
      <c r="N28" s="49"/>
      <c r="O28" s="76" t="s">
        <v>79</v>
      </c>
      <c r="R28" s="63"/>
      <c r="V28" s="51"/>
    </row>
    <row r="29" spans="1:23" ht="16.5" x14ac:dyDescent="0.3">
      <c r="A29" s="14" t="s">
        <v>5</v>
      </c>
      <c r="B29" s="7"/>
      <c r="C29" s="7"/>
      <c r="D29" s="7"/>
      <c r="E29" s="7"/>
      <c r="F29" s="7"/>
      <c r="G29" s="7"/>
      <c r="H29" s="7"/>
      <c r="I29" s="7"/>
      <c r="J29" s="25">
        <f>SUM(J17:J28)</f>
        <v>12000</v>
      </c>
      <c r="K29" s="25">
        <f>SUM(K17:K28)</f>
        <v>12720</v>
      </c>
      <c r="L29" s="25"/>
      <c r="M29" s="58">
        <f>SUM(M17:M28)</f>
        <v>446160</v>
      </c>
      <c r="P29" s="76"/>
      <c r="Q29" s="76"/>
      <c r="R29" s="76"/>
      <c r="S29" t="e">
        <f>SUM(S17:S28)</f>
        <v>#DIV/0!</v>
      </c>
      <c r="V29" s="47" t="e">
        <f>S29/M38</f>
        <v>#DIV/0!</v>
      </c>
    </row>
    <row r="30" spans="1:23" ht="21" x14ac:dyDescent="0.3">
      <c r="A30" s="286" t="s">
        <v>37</v>
      </c>
      <c r="B30" s="287"/>
      <c r="C30" s="271" t="s">
        <v>40</v>
      </c>
      <c r="D30" s="271"/>
      <c r="E30" s="6"/>
      <c r="F30" s="6"/>
      <c r="G30" s="6"/>
      <c r="H30" s="6"/>
      <c r="I30" s="6"/>
      <c r="J30" s="6"/>
      <c r="K30" s="295" t="s">
        <v>21</v>
      </c>
      <c r="L30" s="296"/>
      <c r="M30" s="57">
        <f>M29</f>
        <v>446160</v>
      </c>
      <c r="R30" s="46"/>
      <c r="V30" s="47"/>
    </row>
    <row r="31" spans="1:23" ht="18.75" x14ac:dyDescent="0.3">
      <c r="A31" s="286" t="s">
        <v>38</v>
      </c>
      <c r="B31" s="287"/>
      <c r="C31" s="271" t="s">
        <v>48</v>
      </c>
      <c r="D31" s="271"/>
      <c r="E31" s="6"/>
      <c r="F31" s="6"/>
      <c r="G31" s="6"/>
      <c r="H31" s="6"/>
      <c r="I31" s="6"/>
      <c r="J31" s="6"/>
      <c r="K31" s="288" t="s">
        <v>22</v>
      </c>
      <c r="L31" s="289"/>
      <c r="M31" s="56">
        <f>(R14*W13+S14*W14)*T14</f>
        <v>9900</v>
      </c>
      <c r="R31" s="47"/>
      <c r="V31" s="47"/>
    </row>
    <row r="32" spans="1:23" ht="16.5" customHeight="1" x14ac:dyDescent="0.3">
      <c r="A32" s="12" t="s">
        <v>46</v>
      </c>
      <c r="B32" s="6"/>
      <c r="C32" s="44" t="s">
        <v>28</v>
      </c>
      <c r="D32" s="6"/>
      <c r="E32" s="6"/>
      <c r="F32" s="6"/>
      <c r="G32" s="6"/>
      <c r="H32" s="6"/>
      <c r="I32" s="6"/>
      <c r="J32" s="6"/>
      <c r="K32" s="276" t="s">
        <v>26</v>
      </c>
      <c r="L32" s="277"/>
      <c r="M32" s="55">
        <v>0</v>
      </c>
      <c r="S32" s="69" t="s">
        <v>82</v>
      </c>
    </row>
    <row r="33" spans="1:19" ht="16.5" customHeight="1" x14ac:dyDescent="0.3">
      <c r="A33" s="15" t="str">
        <f>IF(B1=V1,X3,Y3)</f>
        <v>PAYEE:SINOCHEM TIANJIN CO., LTD</v>
      </c>
      <c r="B33" s="6"/>
      <c r="C33" s="6"/>
      <c r="D33" s="6"/>
      <c r="E33" s="6"/>
      <c r="F33" s="6"/>
      <c r="G33" s="6"/>
      <c r="H33" s="6"/>
      <c r="I33" s="6"/>
      <c r="J33" s="6"/>
      <c r="K33" s="276" t="s">
        <v>27</v>
      </c>
      <c r="L33" s="277"/>
      <c r="M33" s="55">
        <v>0</v>
      </c>
    </row>
    <row r="34" spans="1:19" ht="16.5" customHeight="1" x14ac:dyDescent="0.3">
      <c r="A34" s="16" t="s">
        <v>13</v>
      </c>
      <c r="B34" s="6"/>
      <c r="C34" s="6"/>
      <c r="D34" s="6"/>
      <c r="E34" s="6"/>
      <c r="F34" s="6"/>
      <c r="G34" s="6"/>
      <c r="H34" s="6"/>
      <c r="I34" s="6"/>
      <c r="J34" s="6"/>
      <c r="K34" s="6"/>
      <c r="L34" s="6"/>
      <c r="M34" s="55">
        <v>0</v>
      </c>
    </row>
    <row r="35" spans="1:19" ht="16.5" customHeight="1" x14ac:dyDescent="0.3">
      <c r="A35" s="16" t="s">
        <v>14</v>
      </c>
      <c r="B35" s="6"/>
      <c r="C35" s="6"/>
      <c r="D35" s="6"/>
      <c r="E35" s="6"/>
      <c r="F35" s="6"/>
      <c r="G35" s="6"/>
      <c r="H35" s="6"/>
      <c r="I35" s="6"/>
      <c r="J35" s="6"/>
      <c r="K35" s="6"/>
      <c r="L35" s="6"/>
      <c r="M35" s="55">
        <v>0</v>
      </c>
    </row>
    <row r="36" spans="1:19" ht="16.5" customHeight="1" x14ac:dyDescent="0.3">
      <c r="A36" s="16" t="s">
        <v>15</v>
      </c>
      <c r="B36" s="6"/>
      <c r="C36" s="6"/>
      <c r="D36" s="6"/>
      <c r="E36" s="6"/>
      <c r="F36" s="6"/>
      <c r="G36" s="6"/>
      <c r="H36" s="6"/>
      <c r="I36" s="6"/>
      <c r="J36" s="6"/>
      <c r="K36" s="6"/>
      <c r="L36" s="6"/>
      <c r="M36" s="55">
        <v>0</v>
      </c>
    </row>
    <row r="37" spans="1:19" ht="16.5" customHeight="1" x14ac:dyDescent="0.3">
      <c r="A37" s="16" t="s">
        <v>16</v>
      </c>
      <c r="B37" s="6"/>
      <c r="C37" s="6"/>
      <c r="D37" s="6"/>
      <c r="E37" s="6"/>
      <c r="F37" s="6"/>
      <c r="G37" s="6"/>
      <c r="H37" s="6"/>
      <c r="I37" s="6"/>
      <c r="J37" s="6"/>
      <c r="K37" s="6"/>
      <c r="L37" s="6"/>
      <c r="M37" s="55">
        <v>0</v>
      </c>
      <c r="O37" s="72">
        <v>426655.25</v>
      </c>
    </row>
    <row r="38" spans="1:19" ht="21.75" thickBot="1" x14ac:dyDescent="0.4">
      <c r="A38" s="16" t="str">
        <f>IF(B1=V1,X2,Y2)</f>
        <v>ACCOUNT NUMBER:10002000096220000016</v>
      </c>
      <c r="B38" s="1"/>
      <c r="C38" s="1"/>
      <c r="D38" s="1"/>
      <c r="E38" s="1"/>
      <c r="F38" s="1"/>
      <c r="G38" s="1"/>
      <c r="H38" s="1"/>
      <c r="I38" s="1"/>
      <c r="J38" s="1"/>
      <c r="K38" s="278" t="s">
        <v>25</v>
      </c>
      <c r="L38" s="279"/>
      <c r="M38" s="54">
        <f>SUM(M30+M31)</f>
        <v>456060</v>
      </c>
    </row>
    <row r="39" spans="1:19" ht="18.75" thickBot="1" x14ac:dyDescent="0.35">
      <c r="A39" s="280" t="s">
        <v>83</v>
      </c>
      <c r="B39" s="281"/>
      <c r="C39" s="282" t="e">
        <f ca="1">SpellNumber(M38)</f>
        <v>#NAME?</v>
      </c>
      <c r="D39" s="282"/>
      <c r="E39" s="282"/>
      <c r="F39" s="282"/>
      <c r="G39" s="282"/>
      <c r="H39" s="282"/>
      <c r="I39" s="282"/>
      <c r="J39" s="283"/>
      <c r="K39" s="1"/>
      <c r="L39" s="1"/>
      <c r="M39" s="45" t="s">
        <v>51</v>
      </c>
    </row>
    <row r="40" spans="1:19" x14ac:dyDescent="0.3">
      <c r="A40" s="284"/>
      <c r="B40" s="285"/>
      <c r="C40" s="285"/>
      <c r="D40" s="285"/>
      <c r="E40" s="285"/>
      <c r="F40" s="285"/>
      <c r="G40" s="285"/>
      <c r="H40" s="285"/>
      <c r="I40" s="285"/>
      <c r="J40" s="285"/>
      <c r="K40" s="1"/>
      <c r="L40" s="1"/>
      <c r="M40" s="17"/>
    </row>
    <row r="41" spans="1:19" ht="16.5" x14ac:dyDescent="0.3">
      <c r="A41" s="18" t="s">
        <v>8</v>
      </c>
      <c r="B41" s="5"/>
      <c r="C41" s="5"/>
      <c r="D41" s="5"/>
      <c r="E41" s="5"/>
      <c r="F41" s="5"/>
      <c r="G41" s="5"/>
      <c r="H41" s="5"/>
      <c r="I41" s="5"/>
      <c r="J41" s="5"/>
      <c r="K41" s="5"/>
      <c r="L41" s="5"/>
      <c r="M41" s="19"/>
    </row>
    <row r="42" spans="1:19" x14ac:dyDescent="0.3">
      <c r="A42" s="28" t="s">
        <v>4</v>
      </c>
      <c r="B42" s="27"/>
      <c r="C42" s="27" t="s">
        <v>28</v>
      </c>
      <c r="D42" s="27"/>
      <c r="E42" s="27"/>
      <c r="F42" s="27"/>
      <c r="G42" s="1"/>
      <c r="H42" s="1"/>
      <c r="I42" s="1"/>
      <c r="J42" s="1"/>
      <c r="K42" s="1"/>
      <c r="L42" s="1"/>
      <c r="M42" s="17"/>
    </row>
    <row r="43" spans="1:19" x14ac:dyDescent="0.3">
      <c r="A43" s="28" t="s">
        <v>2</v>
      </c>
      <c r="B43" s="27"/>
      <c r="C43" s="27" t="s">
        <v>28</v>
      </c>
      <c r="D43" s="27"/>
      <c r="E43" s="27"/>
      <c r="F43" s="27"/>
      <c r="G43" s="1"/>
      <c r="H43" s="1"/>
      <c r="I43" s="1"/>
      <c r="J43" s="1"/>
      <c r="K43" s="1"/>
      <c r="L43" s="1"/>
      <c r="M43" s="17"/>
      <c r="S43" t="e">
        <f ca="1">SpellNumber(M38)</f>
        <v>#NAME?</v>
      </c>
    </row>
    <row r="44" spans="1:19" x14ac:dyDescent="0.3">
      <c r="A44" s="28" t="s">
        <v>3</v>
      </c>
      <c r="B44" s="27"/>
      <c r="C44" s="27" t="s">
        <v>29</v>
      </c>
      <c r="D44" s="27"/>
      <c r="E44" s="27"/>
      <c r="F44" s="27"/>
      <c r="G44" s="1"/>
      <c r="H44" s="1"/>
      <c r="I44" s="1"/>
      <c r="J44" s="1"/>
      <c r="K44" s="1"/>
      <c r="L44" s="1"/>
      <c r="M44" s="17"/>
    </row>
    <row r="45" spans="1:19" x14ac:dyDescent="0.3">
      <c r="A45" s="28"/>
      <c r="B45" s="27"/>
      <c r="C45" s="27"/>
      <c r="D45" s="27"/>
      <c r="E45" s="27"/>
      <c r="F45" s="27"/>
      <c r="G45" s="1"/>
      <c r="H45" s="1"/>
      <c r="I45" s="1"/>
      <c r="J45" s="1"/>
      <c r="K45" s="1"/>
      <c r="L45" s="1"/>
      <c r="M45" s="17"/>
      <c r="R45" t="e">
        <f ca="1">SpellNumber(M38)</f>
        <v>#NAME?</v>
      </c>
    </row>
    <row r="46" spans="1:19" x14ac:dyDescent="0.3">
      <c r="A46" s="29" t="s">
        <v>6</v>
      </c>
      <c r="B46" s="26"/>
      <c r="C46" s="271" t="s">
        <v>24</v>
      </c>
      <c r="D46" s="271"/>
      <c r="E46" s="271"/>
      <c r="F46" s="271"/>
      <c r="G46" s="2"/>
      <c r="H46" s="2"/>
      <c r="I46" s="2"/>
      <c r="J46" s="2"/>
      <c r="K46" s="2"/>
      <c r="L46" s="2"/>
      <c r="M46" s="17"/>
      <c r="R46" t="e">
        <f ca="1">SpellNumber(M38)</f>
        <v>#NAME?</v>
      </c>
    </row>
    <row r="47" spans="1:19" x14ac:dyDescent="0.3">
      <c r="A47" s="20"/>
      <c r="B47" s="2"/>
      <c r="C47" s="2"/>
      <c r="D47" s="2"/>
      <c r="E47" s="2"/>
      <c r="F47" s="2"/>
      <c r="G47" s="2"/>
      <c r="H47" s="2"/>
      <c r="I47" s="2"/>
      <c r="J47" s="2"/>
      <c r="K47" s="2"/>
      <c r="L47" s="2"/>
      <c r="M47" s="17"/>
      <c r="R47" t="e">
        <f ca="1">SpellNumber(M38)</f>
        <v>#NAME?</v>
      </c>
    </row>
    <row r="48" spans="1:19" ht="15" customHeight="1" x14ac:dyDescent="0.3">
      <c r="A48" s="272" t="s">
        <v>30</v>
      </c>
      <c r="B48" s="273"/>
      <c r="C48" s="273"/>
      <c r="D48" s="273"/>
      <c r="E48" s="273"/>
      <c r="F48" s="273"/>
      <c r="G48" s="273"/>
      <c r="H48" s="78"/>
      <c r="I48" s="2"/>
      <c r="J48" s="2"/>
      <c r="K48" s="2"/>
      <c r="L48" s="2"/>
      <c r="M48" s="17"/>
    </row>
    <row r="49" spans="1:13" x14ac:dyDescent="0.3">
      <c r="A49" s="272"/>
      <c r="B49" s="273"/>
      <c r="C49" s="273"/>
      <c r="D49" s="273"/>
      <c r="E49" s="273"/>
      <c r="F49" s="273"/>
      <c r="G49" s="273"/>
      <c r="H49" s="78"/>
      <c r="I49" s="2"/>
      <c r="J49" s="2"/>
      <c r="K49" s="2"/>
      <c r="L49" s="2"/>
      <c r="M49" s="17"/>
    </row>
    <row r="50" spans="1:13" x14ac:dyDescent="0.3">
      <c r="A50" s="272"/>
      <c r="B50" s="273"/>
      <c r="C50" s="273"/>
      <c r="D50" s="273"/>
      <c r="E50" s="273"/>
      <c r="F50" s="273"/>
      <c r="G50" s="273"/>
      <c r="H50" s="78"/>
      <c r="I50" s="2"/>
      <c r="J50" s="2"/>
      <c r="K50" s="2"/>
      <c r="L50" s="2"/>
      <c r="M50" s="17"/>
    </row>
    <row r="51" spans="1:13" x14ac:dyDescent="0.3">
      <c r="A51" s="21" t="s">
        <v>92</v>
      </c>
      <c r="B51" s="4"/>
      <c r="C51" s="2"/>
      <c r="D51" s="2"/>
      <c r="E51" s="2"/>
      <c r="F51" s="2"/>
      <c r="G51" s="2"/>
      <c r="H51" s="2"/>
      <c r="I51" s="2"/>
      <c r="J51" s="2"/>
      <c r="K51" s="2"/>
      <c r="L51" s="2"/>
      <c r="M51" s="17"/>
    </row>
    <row r="52" spans="1:13" ht="15.75" thickBot="1" x14ac:dyDescent="0.35">
      <c r="A52" s="274" t="str">
        <f>IF(B1=V1,X1,Y1)</f>
        <v>SINOCHEM TIANJIN CO., LTD</v>
      </c>
      <c r="B52" s="275">
        <f>IF(C51=W51,Y51,Z51)</f>
        <v>0</v>
      </c>
      <c r="C52" s="275">
        <f>IF(D51=X51,Z51,AA51)</f>
        <v>0</v>
      </c>
      <c r="D52" s="275">
        <f>IF(E51=Y51,AA51,AB51)</f>
        <v>0</v>
      </c>
      <c r="E52" s="24"/>
      <c r="F52" s="22"/>
      <c r="G52" s="22"/>
      <c r="H52" s="22"/>
      <c r="I52" s="22"/>
      <c r="J52" s="22"/>
      <c r="K52" s="22"/>
      <c r="L52" s="22"/>
      <c r="M52" s="23"/>
    </row>
  </sheetData>
  <mergeCells count="53">
    <mergeCell ref="K10:L10"/>
    <mergeCell ref="K11:L11"/>
    <mergeCell ref="K12:L12"/>
    <mergeCell ref="K13:L13"/>
    <mergeCell ref="B1:F1"/>
    <mergeCell ref="L2:M2"/>
    <mergeCell ref="L3:M3"/>
    <mergeCell ref="J5:K5"/>
    <mergeCell ref="L5:M5"/>
    <mergeCell ref="O13:P14"/>
    <mergeCell ref="K14:L14"/>
    <mergeCell ref="B16:D16"/>
    <mergeCell ref="E16:F16"/>
    <mergeCell ref="B17:D17"/>
    <mergeCell ref="E17:F17"/>
    <mergeCell ref="K15:L15"/>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A31:B31"/>
    <mergeCell ref="C31:D31"/>
    <mergeCell ref="K31:L31"/>
    <mergeCell ref="B25:D25"/>
    <mergeCell ref="E25:F25"/>
    <mergeCell ref="B26:D26"/>
    <mergeCell ref="E26:F26"/>
    <mergeCell ref="B27:D27"/>
    <mergeCell ref="E27:F27"/>
    <mergeCell ref="B28:D28"/>
    <mergeCell ref="E28:F28"/>
    <mergeCell ref="A30:B30"/>
    <mergeCell ref="C30:D30"/>
    <mergeCell ref="K30:L30"/>
    <mergeCell ref="C46:F46"/>
    <mergeCell ref="A48:G50"/>
    <mergeCell ref="A52:D52"/>
    <mergeCell ref="K32:L32"/>
    <mergeCell ref="K33:L33"/>
    <mergeCell ref="K38:L38"/>
    <mergeCell ref="A39:B39"/>
    <mergeCell ref="C39:J39"/>
    <mergeCell ref="A40:J40"/>
  </mergeCells>
  <dataValidations count="2">
    <dataValidation type="list" allowBlank="1" showInputMessage="1" showErrorMessage="1" sqref="H17:H28" xr:uid="{00000000-0002-0000-1400-000000000000}">
      <formula1>$P$5:$P$7</formula1>
    </dataValidation>
    <dataValidation type="list" allowBlank="1" showInputMessage="1" showErrorMessage="1" sqref="B1:F1" xr:uid="{00000000-0002-0000-1400-000001000000}">
      <formula1>$V$1:$W$1</formula1>
    </dataValidation>
  </dataValidations>
  <printOptions horizontalCentered="1"/>
  <pageMargins left="0.51181102362204722" right="0.51181102362204722" top="0.51181102362204722" bottom="0.51181102362204722" header="0.51181102362204722" footer="0.23622047244094491"/>
  <pageSetup scale="65" fitToHeight="0"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AA52"/>
  <sheetViews>
    <sheetView showGridLines="0" zoomScale="85" zoomScaleNormal="85" workbookViewId="0">
      <selection activeCell="T485" sqref="T485"/>
    </sheetView>
  </sheetViews>
  <sheetFormatPr defaultRowHeight="15" x14ac:dyDescent="0.3"/>
  <cols>
    <col min="1" max="3" width="11.42578125" customWidth="1"/>
    <col min="4" max="4" width="13.5703125" customWidth="1"/>
    <col min="5" max="5" width="11.42578125" customWidth="1"/>
    <col min="6" max="6" width="17" customWidth="1"/>
    <col min="7" max="7" width="8.140625" bestFit="1" customWidth="1"/>
    <col min="8" max="8" width="8.140625" customWidth="1"/>
    <col min="9" max="12" width="11.42578125" customWidth="1"/>
    <col min="13" max="13" width="16.85546875" customWidth="1"/>
    <col min="14" max="14" width="10.85546875" bestFit="1" customWidth="1"/>
    <col min="15" max="15" width="9.85546875" bestFit="1" customWidth="1"/>
    <col min="18" max="18" width="11.85546875" bestFit="1" customWidth="1"/>
    <col min="22" max="22" width="13.7109375" bestFit="1" customWidth="1"/>
    <col min="23" max="23" width="13.85546875" customWidth="1"/>
  </cols>
  <sheetData>
    <row r="1" spans="1:27" ht="78" customHeight="1" x14ac:dyDescent="0.45">
      <c r="A1" s="8"/>
      <c r="B1" s="306" t="s">
        <v>108</v>
      </c>
      <c r="C1" s="306"/>
      <c r="D1" s="306"/>
      <c r="E1" s="306"/>
      <c r="F1" s="306"/>
      <c r="G1" s="84"/>
      <c r="H1" s="84"/>
      <c r="I1" s="84"/>
      <c r="J1" s="84"/>
      <c r="K1" s="84"/>
      <c r="L1" s="84"/>
      <c r="M1" s="30" t="s">
        <v>7</v>
      </c>
      <c r="V1" s="87" t="s">
        <v>74</v>
      </c>
      <c r="W1" s="88" t="s">
        <v>108</v>
      </c>
      <c r="X1" s="38" t="s">
        <v>69</v>
      </c>
      <c r="Y1" s="38" t="s">
        <v>109</v>
      </c>
      <c r="Z1" s="88"/>
      <c r="AA1" s="88"/>
    </row>
    <row r="2" spans="1:27" ht="16.5" x14ac:dyDescent="0.3">
      <c r="A2" s="38" t="str">
        <f>IF(B1=V1,X1,Y1)</f>
        <v>SINOCHEM TIANJIN CO., LTD</v>
      </c>
      <c r="B2" s="39"/>
      <c r="C2" s="39"/>
      <c r="D2" s="9"/>
      <c r="E2" s="9"/>
      <c r="F2" s="9"/>
      <c r="G2" s="9"/>
      <c r="H2" s="9"/>
      <c r="I2" s="9"/>
      <c r="J2" s="35"/>
      <c r="K2" s="36" t="s">
        <v>45</v>
      </c>
      <c r="L2" s="307">
        <v>42278</v>
      </c>
      <c r="M2" s="308"/>
      <c r="X2" s="89" t="s">
        <v>110</v>
      </c>
      <c r="Y2" s="89" t="s">
        <v>111</v>
      </c>
    </row>
    <row r="3" spans="1:27" ht="16.5" x14ac:dyDescent="0.3">
      <c r="A3" s="40" t="s">
        <v>11</v>
      </c>
      <c r="B3" s="41"/>
      <c r="C3" s="41"/>
      <c r="D3" s="10"/>
      <c r="E3" s="10"/>
      <c r="F3" s="10"/>
      <c r="G3" s="10"/>
      <c r="H3" s="10"/>
      <c r="I3" s="10"/>
      <c r="J3" s="37"/>
      <c r="K3" s="36" t="s">
        <v>44</v>
      </c>
      <c r="L3" s="307" t="s">
        <v>96</v>
      </c>
      <c r="M3" s="308"/>
      <c r="X3" s="38" t="s">
        <v>112</v>
      </c>
      <c r="Y3" s="38" t="s">
        <v>113</v>
      </c>
    </row>
    <row r="4" spans="1:27" ht="15" customHeight="1" x14ac:dyDescent="0.3">
      <c r="A4" s="40" t="s">
        <v>12</v>
      </c>
      <c r="B4" s="41"/>
      <c r="C4" s="41"/>
      <c r="D4" s="9"/>
      <c r="E4" s="9"/>
      <c r="F4" s="9"/>
      <c r="G4" s="9"/>
      <c r="H4" s="9"/>
      <c r="I4" s="9"/>
      <c r="J4" s="35"/>
      <c r="K4" s="36" t="s">
        <v>47</v>
      </c>
      <c r="L4" s="79" t="s">
        <v>98</v>
      </c>
      <c r="M4" s="77" t="s">
        <v>115</v>
      </c>
    </row>
    <row r="5" spans="1:27" ht="16.5" x14ac:dyDescent="0.3">
      <c r="A5" s="40" t="s">
        <v>10</v>
      </c>
      <c r="B5" s="41"/>
      <c r="C5" s="41"/>
      <c r="D5" s="9"/>
      <c r="E5" s="9"/>
      <c r="F5" s="9"/>
      <c r="G5" s="9"/>
      <c r="H5" s="9"/>
      <c r="I5" s="9"/>
      <c r="J5" s="309"/>
      <c r="K5" s="309"/>
      <c r="L5" s="310"/>
      <c r="M5" s="311"/>
      <c r="P5" t="s">
        <v>105</v>
      </c>
    </row>
    <row r="6" spans="1:27" ht="16.5" x14ac:dyDescent="0.3">
      <c r="A6" s="40" t="s">
        <v>9</v>
      </c>
      <c r="B6" s="41"/>
      <c r="C6" s="41"/>
      <c r="D6" s="9"/>
      <c r="E6" s="9"/>
      <c r="F6" s="9"/>
      <c r="G6" s="9"/>
      <c r="H6" s="9"/>
      <c r="I6" s="9"/>
      <c r="J6" s="9"/>
      <c r="K6" s="9"/>
      <c r="L6" s="9"/>
      <c r="M6" s="11"/>
      <c r="P6" t="s">
        <v>106</v>
      </c>
    </row>
    <row r="7" spans="1:27" x14ac:dyDescent="0.3">
      <c r="A7" s="12"/>
      <c r="B7" s="1"/>
      <c r="C7" s="1"/>
      <c r="D7" s="9"/>
      <c r="E7" s="9"/>
      <c r="F7" s="9"/>
      <c r="G7" s="9"/>
      <c r="H7" s="9"/>
      <c r="I7" s="9"/>
      <c r="J7" s="9"/>
      <c r="K7" s="9"/>
      <c r="L7" s="9"/>
      <c r="M7" s="11"/>
      <c r="P7" t="s">
        <v>89</v>
      </c>
    </row>
    <row r="8" spans="1:27" x14ac:dyDescent="0.3">
      <c r="A8" s="12"/>
      <c r="B8" s="1"/>
      <c r="C8" s="1"/>
      <c r="D8" s="1"/>
      <c r="E8" s="1"/>
      <c r="F8" s="1"/>
      <c r="G8" s="1"/>
      <c r="H8" s="1"/>
      <c r="I8" s="1"/>
      <c r="J8" s="1"/>
      <c r="K8" s="1"/>
      <c r="L8" s="1"/>
      <c r="M8" s="11"/>
    </row>
    <row r="9" spans="1:27" ht="16.5" x14ac:dyDescent="0.3">
      <c r="A9" s="13" t="s">
        <v>1</v>
      </c>
      <c r="B9" s="3"/>
      <c r="C9" s="3"/>
      <c r="D9" s="3"/>
      <c r="E9" s="3"/>
      <c r="F9" s="3"/>
      <c r="G9" s="3"/>
      <c r="H9" s="3"/>
      <c r="I9" s="3"/>
      <c r="J9" s="3"/>
      <c r="K9" s="3"/>
      <c r="L9" s="3" t="s">
        <v>31</v>
      </c>
      <c r="M9" s="34"/>
    </row>
    <row r="10" spans="1:27" ht="16.5" x14ac:dyDescent="0.3">
      <c r="A10" s="40" t="s">
        <v>88</v>
      </c>
      <c r="B10" s="41"/>
      <c r="C10" s="41"/>
      <c r="D10" s="9"/>
      <c r="E10" s="9"/>
      <c r="F10" s="9"/>
      <c r="G10" s="9"/>
      <c r="H10" s="9"/>
      <c r="I10" s="9"/>
      <c r="J10" s="9"/>
      <c r="K10" s="299" t="s">
        <v>32</v>
      </c>
      <c r="L10" s="299"/>
      <c r="M10" s="59" t="s">
        <v>34</v>
      </c>
    </row>
    <row r="11" spans="1:27" ht="16.5" customHeight="1" x14ac:dyDescent="0.3">
      <c r="A11" s="40" t="s">
        <v>86</v>
      </c>
      <c r="B11" s="41"/>
      <c r="C11" s="41"/>
      <c r="D11" s="9"/>
      <c r="E11" s="9"/>
      <c r="F11" s="9"/>
      <c r="G11" s="9"/>
      <c r="H11" s="9"/>
      <c r="I11" s="9"/>
      <c r="J11" s="9"/>
      <c r="K11" s="299" t="s">
        <v>42</v>
      </c>
      <c r="L11" s="299"/>
      <c r="M11" s="59" t="s">
        <v>43</v>
      </c>
    </row>
    <row r="12" spans="1:27" ht="16.5" customHeight="1" x14ac:dyDescent="0.3">
      <c r="A12" s="40" t="s">
        <v>87</v>
      </c>
      <c r="B12" s="41"/>
      <c r="C12" s="41"/>
      <c r="D12" s="9"/>
      <c r="E12" s="9"/>
      <c r="F12" s="9"/>
      <c r="G12" s="9"/>
      <c r="H12" s="9"/>
      <c r="I12" s="9"/>
      <c r="J12" s="9"/>
      <c r="K12" s="299" t="s">
        <v>41</v>
      </c>
      <c r="L12" s="299"/>
      <c r="M12" s="61">
        <f xml:space="preserve"> K29</f>
        <v>12720</v>
      </c>
      <c r="W12" t="s">
        <v>80</v>
      </c>
      <c r="Y12" t="s">
        <v>36</v>
      </c>
    </row>
    <row r="13" spans="1:27" ht="16.5" customHeight="1" x14ac:dyDescent="0.3">
      <c r="A13" s="40" t="s">
        <v>85</v>
      </c>
      <c r="B13" s="41"/>
      <c r="C13" s="41"/>
      <c r="D13" s="9"/>
      <c r="E13" s="9"/>
      <c r="F13" s="9"/>
      <c r="G13" s="9"/>
      <c r="H13" s="9"/>
      <c r="I13" s="9"/>
      <c r="J13" s="9"/>
      <c r="K13" s="299" t="s">
        <v>35</v>
      </c>
      <c r="L13" s="299"/>
      <c r="M13" s="60" t="str">
        <f>IF(K29/J29=1.06,"Cartons",IF(K29/J29&gt;=1.12,"Drums","Cartons &amp; Drums"))</f>
        <v>Cartons</v>
      </c>
      <c r="O13" s="215" t="s">
        <v>77</v>
      </c>
      <c r="P13" s="215"/>
      <c r="Q13" s="83"/>
      <c r="R13" s="64" t="s">
        <v>78</v>
      </c>
      <c r="S13" s="65" t="s">
        <v>76</v>
      </c>
      <c r="T13" t="s">
        <v>95</v>
      </c>
      <c r="V13" s="51" t="s">
        <v>75</v>
      </c>
      <c r="W13" s="50">
        <v>19800</v>
      </c>
      <c r="Y13" t="s">
        <v>67</v>
      </c>
    </row>
    <row r="14" spans="1:27" ht="16.5" customHeight="1" x14ac:dyDescent="0.3">
      <c r="A14" s="42" t="s">
        <v>84</v>
      </c>
      <c r="B14" s="43"/>
      <c r="C14" s="41"/>
      <c r="D14" s="9"/>
      <c r="E14" s="9"/>
      <c r="F14" s="9"/>
      <c r="G14" s="9"/>
      <c r="H14" s="9"/>
      <c r="I14" s="9"/>
      <c r="J14" s="9"/>
      <c r="K14" s="299" t="s">
        <v>33</v>
      </c>
      <c r="L14" s="299"/>
      <c r="M14" s="60">
        <f>J29/25</f>
        <v>480</v>
      </c>
      <c r="O14" s="215"/>
      <c r="P14" s="215"/>
      <c r="Q14" s="83"/>
      <c r="R14" s="83">
        <v>0.5</v>
      </c>
      <c r="S14" s="66"/>
      <c r="T14">
        <v>1</v>
      </c>
      <c r="V14" s="51" t="s">
        <v>76</v>
      </c>
      <c r="W14" s="50">
        <v>15000</v>
      </c>
      <c r="Y14" t="s">
        <v>91</v>
      </c>
    </row>
    <row r="15" spans="1:27" ht="12" customHeight="1" x14ac:dyDescent="0.3">
      <c r="A15" s="12"/>
      <c r="B15" s="1"/>
      <c r="C15" s="43"/>
      <c r="D15" s="1"/>
      <c r="E15" s="1"/>
      <c r="F15" s="1"/>
      <c r="G15" s="1"/>
      <c r="H15" s="1"/>
      <c r="I15" s="1"/>
      <c r="J15" s="1"/>
      <c r="K15" s="299"/>
      <c r="L15" s="299"/>
      <c r="M15" s="59"/>
      <c r="Y15" t="s">
        <v>89</v>
      </c>
    </row>
    <row r="16" spans="1:27" ht="48.75" customHeight="1" x14ac:dyDescent="0.3">
      <c r="A16" s="31" t="s">
        <v>17</v>
      </c>
      <c r="B16" s="312" t="s">
        <v>0</v>
      </c>
      <c r="C16" s="312"/>
      <c r="D16" s="312"/>
      <c r="E16" s="312" t="s">
        <v>39</v>
      </c>
      <c r="F16" s="312"/>
      <c r="G16" s="32" t="s">
        <v>18</v>
      </c>
      <c r="H16" s="32" t="s">
        <v>104</v>
      </c>
      <c r="I16" s="32" t="s">
        <v>19</v>
      </c>
      <c r="J16" s="32" t="s">
        <v>20</v>
      </c>
      <c r="K16" s="32" t="s">
        <v>23</v>
      </c>
      <c r="L16" s="32" t="s">
        <v>49</v>
      </c>
      <c r="M16" s="33" t="s">
        <v>50</v>
      </c>
      <c r="O16" s="32" t="s">
        <v>72</v>
      </c>
      <c r="P16" s="32" t="s">
        <v>81</v>
      </c>
      <c r="Q16" s="32" t="s">
        <v>94</v>
      </c>
      <c r="R16" s="32" t="s">
        <v>93</v>
      </c>
      <c r="S16" s="32" t="s">
        <v>73</v>
      </c>
    </row>
    <row r="17" spans="1:22" s="50" customFormat="1" ht="30" customHeight="1" x14ac:dyDescent="0.3">
      <c r="A17" s="67">
        <v>2992</v>
      </c>
      <c r="B17" s="290" t="e">
        <f>IF(A17:A28="","",IF(L$4="sys/",VLOOKUP(A17:A28,#REF!,4,FALSE)))</f>
        <v>#REF!</v>
      </c>
      <c r="C17" s="291"/>
      <c r="D17" s="292"/>
      <c r="E17" s="293" t="e">
        <f>IF(A17:A28="","",IF(L$4="sys/",VLOOKUP(A17:A28,#REF!,7,FALSE)))</f>
        <v>#REF!</v>
      </c>
      <c r="F17" s="294"/>
      <c r="G17" s="53" t="e">
        <f>IF(A17:A28="","",IF(L$4="sys/",VLOOKUP(A17:A28,#REF!,9,FALSE)))</f>
        <v>#REF!</v>
      </c>
      <c r="H17" s="53" t="s">
        <v>105</v>
      </c>
      <c r="I17" s="53" t="e">
        <f>IF(A17:A28="","",IF(L$4="sys/",VLOOKUP(A17:A28,#REF!,8,FALSE)))</f>
        <v>#REF!</v>
      </c>
      <c r="J17" s="52">
        <v>12000</v>
      </c>
      <c r="K17" s="52">
        <f>IF(H17="","",IF(H17="carton",(J17*26.5/25),IF(H17="drum",J17*28/25,IF(H17="bale",0))))</f>
        <v>12720</v>
      </c>
      <c r="L17" s="86" t="str">
        <f>FIXED(O17-(M$31/J$29),2,1)</f>
        <v>37.18</v>
      </c>
      <c r="M17" s="74">
        <f>J17*L17</f>
        <v>446160</v>
      </c>
      <c r="N17" s="49"/>
      <c r="O17" s="70">
        <v>38</v>
      </c>
      <c r="P17" s="48"/>
      <c r="Q17" s="73"/>
      <c r="R17" s="63" t="e">
        <f>(O17-P17)/P17+Q17</f>
        <v>#DIV/0!</v>
      </c>
      <c r="S17" s="50" t="e">
        <f>O17*J17*R17</f>
        <v>#DIV/0!</v>
      </c>
      <c r="T17" s="50">
        <f>O17*J17</f>
        <v>456000</v>
      </c>
    </row>
    <row r="18" spans="1:22" s="50" customFormat="1" ht="30" customHeight="1" x14ac:dyDescent="0.3">
      <c r="A18" s="68"/>
      <c r="B18" s="290" t="str">
        <f>IF(A18:A29="","",IF(L$4="sys/",VLOOKUP(A18:A29,#REF!,4,FALSE)))</f>
        <v/>
      </c>
      <c r="C18" s="291"/>
      <c r="D18" s="292"/>
      <c r="E18" s="293" t="str">
        <f>IF(A18:A29="","",IF(L$4="sys/",VLOOKUP(A18:A29,#REF!,7,FALSE)))</f>
        <v/>
      </c>
      <c r="F18" s="294"/>
      <c r="G18" s="53" t="str">
        <f>IF(A18:A29="","",IF(L$4="sys/",VLOOKUP(A18:A29,#REF!,9,FALSE)))</f>
        <v/>
      </c>
      <c r="H18" s="53"/>
      <c r="I18" s="53" t="str">
        <f>IF(A18:A29="","",IF(L$4="sys/",VLOOKUP(A18:A29,#REF!,8,FALSE)))</f>
        <v/>
      </c>
      <c r="J18" s="53"/>
      <c r="K18" s="53" t="str">
        <f t="shared" ref="K18:K28" si="0">IF(H18="","",IF(H18="carton",(J18*26.5/25),IF(H18="drum",J18*28/25,IF(H18="bale",0))))</f>
        <v/>
      </c>
      <c r="L18" s="85"/>
      <c r="M18" s="74"/>
      <c r="N18" s="49"/>
      <c r="O18" s="70"/>
      <c r="P18" s="48"/>
      <c r="Q18" s="73"/>
      <c r="R18" s="63" t="e">
        <f>(O18-P18)/P18+Q18</f>
        <v>#DIV/0!</v>
      </c>
      <c r="S18" s="50" t="e">
        <f>O18*J18*R18</f>
        <v>#DIV/0!</v>
      </c>
      <c r="T18" s="50">
        <f>O18*J18</f>
        <v>0</v>
      </c>
    </row>
    <row r="19" spans="1:22" s="50" customFormat="1" ht="30" customHeight="1" x14ac:dyDescent="0.3">
      <c r="A19" s="68"/>
      <c r="B19" s="290" t="str">
        <f>IF(A19:A30="","",IF(L$4="sys/",VLOOKUP(A19:A30,#REF!,4,FALSE)))</f>
        <v/>
      </c>
      <c r="C19" s="291"/>
      <c r="D19" s="292"/>
      <c r="E19" s="293" t="str">
        <f>IF(A19:A30="","",IF(L$4="sys/",VLOOKUP(A19:A30,#REF!,7,FALSE)))</f>
        <v/>
      </c>
      <c r="F19" s="294"/>
      <c r="G19" s="53" t="str">
        <f>IF(A19:A30="","",IF(L$4="sys/",VLOOKUP(A19:A30,#REF!,9,FALSE)))</f>
        <v/>
      </c>
      <c r="H19" s="53"/>
      <c r="I19" s="53" t="str">
        <f>IF(A19:A30="","",IF(L$4="sys/",VLOOKUP(A19:A30,#REF!,8,FALSE)))</f>
        <v/>
      </c>
      <c r="J19" s="53"/>
      <c r="K19" s="53" t="str">
        <f t="shared" si="0"/>
        <v/>
      </c>
      <c r="L19" s="85"/>
      <c r="M19" s="74"/>
      <c r="N19" s="49"/>
      <c r="O19" s="70"/>
      <c r="P19" s="48"/>
      <c r="Q19" s="73"/>
      <c r="R19" s="63" t="e">
        <f>(O19-P19)/P19+Q19</f>
        <v>#DIV/0!</v>
      </c>
      <c r="S19" s="50" t="e">
        <f>O19*J19*R19</f>
        <v>#DIV/0!</v>
      </c>
      <c r="T19" s="50">
        <f>O19*J19</f>
        <v>0</v>
      </c>
      <c r="V19" s="51"/>
    </row>
    <row r="20" spans="1:22" s="50" customFormat="1" ht="30" customHeight="1" x14ac:dyDescent="0.3">
      <c r="A20" s="68"/>
      <c r="B20" s="290" t="str">
        <f>IF(A20:A31="","",IF(L$4="sys/",VLOOKUP(A20:A31,#REF!,4,FALSE)))</f>
        <v/>
      </c>
      <c r="C20" s="291"/>
      <c r="D20" s="292"/>
      <c r="E20" s="293" t="str">
        <f>IF(A20:A31="","",IF(L$4="sys/",VLOOKUP(A20:A31,#REF!,7,FALSE)))</f>
        <v/>
      </c>
      <c r="F20" s="294"/>
      <c r="G20" s="53" t="str">
        <f>IF(A20:A31="","",IF(L$4="sys/",VLOOKUP(A20:A31,#REF!,9,FALSE)))</f>
        <v/>
      </c>
      <c r="H20" s="53"/>
      <c r="I20" s="53" t="str">
        <f>IF(A20:A31="","",IF(L$4="sys/",VLOOKUP(A20:A31,#REF!,8,FALSE)))</f>
        <v/>
      </c>
      <c r="J20" s="53"/>
      <c r="K20" s="53" t="str">
        <f t="shared" si="0"/>
        <v/>
      </c>
      <c r="L20" s="85"/>
      <c r="M20" s="74"/>
      <c r="N20" s="49"/>
      <c r="O20" s="70"/>
      <c r="P20" s="48"/>
      <c r="Q20" s="73"/>
      <c r="R20" s="63" t="e">
        <f>(O20-P20)/P20+Q20</f>
        <v>#DIV/0!</v>
      </c>
      <c r="S20" s="50" t="e">
        <f>O20*J20*R20</f>
        <v>#DIV/0!</v>
      </c>
      <c r="T20" s="50">
        <f>O20*J20</f>
        <v>0</v>
      </c>
    </row>
    <row r="21" spans="1:22" s="50" customFormat="1" ht="30" customHeight="1" x14ac:dyDescent="0.3">
      <c r="A21" s="68"/>
      <c r="B21" s="290" t="str">
        <f>IF(A21:A32="","",IF(L$4="sys/",VLOOKUP(A21:A32,#REF!,4,FALSE)))</f>
        <v/>
      </c>
      <c r="C21" s="291"/>
      <c r="D21" s="292"/>
      <c r="E21" s="293" t="str">
        <f>IF(A21:A32="","",IF(L$4="sys/",VLOOKUP(A21:A32,#REF!,7,FALSE)))</f>
        <v/>
      </c>
      <c r="F21" s="294"/>
      <c r="G21" s="53" t="str">
        <f>IF(A21:A32="","",IF(L$4="sys/",VLOOKUP(A21:A32,#REF!,9,FALSE)))</f>
        <v/>
      </c>
      <c r="H21" s="53"/>
      <c r="I21" s="53" t="str">
        <f>IF(A21:A32="","",IF(L$4="sys/",VLOOKUP(A21:A32,#REF!,8,FALSE)))</f>
        <v/>
      </c>
      <c r="J21" s="53"/>
      <c r="K21" s="53" t="str">
        <f t="shared" si="0"/>
        <v/>
      </c>
      <c r="L21" s="85"/>
      <c r="M21" s="74"/>
      <c r="N21" s="49"/>
      <c r="O21" s="70"/>
      <c r="P21" s="48"/>
      <c r="Q21" s="73"/>
      <c r="R21" s="63" t="e">
        <f>(#REF!-P21)/P21+Q21</f>
        <v>#REF!</v>
      </c>
      <c r="S21" s="50" t="e">
        <f>#REF!*#REF!*R21</f>
        <v>#REF!</v>
      </c>
      <c r="T21" s="50" t="e">
        <f>#REF!*#REF!</f>
        <v>#REF!</v>
      </c>
      <c r="V21" s="51"/>
    </row>
    <row r="22" spans="1:22" s="50" customFormat="1" ht="30" customHeight="1" x14ac:dyDescent="0.3">
      <c r="A22" s="68"/>
      <c r="B22" s="290" t="str">
        <f>IF(A22:A33="","",IF(L$4="sys/",VLOOKUP(A22:A33,#REF!,4,FALSE)))</f>
        <v/>
      </c>
      <c r="C22" s="291"/>
      <c r="D22" s="292"/>
      <c r="E22" s="293" t="str">
        <f>IF(A22:A33="","",IF(L$4="sys/",VLOOKUP(A22:A33,#REF!,7,FALSE)))</f>
        <v/>
      </c>
      <c r="F22" s="294"/>
      <c r="G22" s="53" t="str">
        <f>IF(A22:A33="","",IF(L$4="sys/",VLOOKUP(A22:A33,#REF!,9,FALSE)))</f>
        <v/>
      </c>
      <c r="H22" s="53"/>
      <c r="I22" s="53" t="str">
        <f>IF(A22:A33="","",IF(L$4="sys/",VLOOKUP(A22:A33,#REF!,8,FALSE)))</f>
        <v/>
      </c>
      <c r="J22" s="53"/>
      <c r="K22" s="53" t="str">
        <f t="shared" si="0"/>
        <v/>
      </c>
      <c r="L22" s="85"/>
      <c r="M22" s="74"/>
      <c r="N22" s="49"/>
      <c r="P22" s="48"/>
      <c r="Q22" s="73"/>
      <c r="R22" s="63" t="e">
        <f t="shared" ref="R22:R27" si="1">(O21-P22)/P22+Q22</f>
        <v>#DIV/0!</v>
      </c>
      <c r="S22" s="50" t="e">
        <f>O21*J21*R22</f>
        <v>#DIV/0!</v>
      </c>
      <c r="T22" s="50">
        <f>O21*J21</f>
        <v>0</v>
      </c>
      <c r="V22" s="51">
        <f>M38*5.5%</f>
        <v>25083.3</v>
      </c>
    </row>
    <row r="23" spans="1:22" s="50" customFormat="1" ht="30" customHeight="1" x14ac:dyDescent="0.3">
      <c r="A23" s="68"/>
      <c r="B23" s="290" t="str">
        <f>IF(A23:A34="","",IF(L$4="sys/",VLOOKUP(A23:A34,#REF!,4,FALSE)))</f>
        <v/>
      </c>
      <c r="C23" s="291"/>
      <c r="D23" s="292"/>
      <c r="E23" s="293" t="str">
        <f>IF(A23:A34="","",IF(L$4="sys/",VLOOKUP(A23:A34,#REF!,7,FALSE)))</f>
        <v/>
      </c>
      <c r="F23" s="294"/>
      <c r="G23" s="53" t="str">
        <f>IF(A23:A34="","",IF(L$4="sys/",VLOOKUP(A23:A34,#REF!,9,FALSE)))</f>
        <v/>
      </c>
      <c r="H23" s="53"/>
      <c r="I23" s="53" t="str">
        <f>IF(A23:A34="","",IF(L$4="sys/",VLOOKUP(A23:A34,#REF!,8,FALSE)))</f>
        <v/>
      </c>
      <c r="J23" s="53"/>
      <c r="K23" s="53" t="str">
        <f t="shared" si="0"/>
        <v/>
      </c>
      <c r="L23" s="85"/>
      <c r="M23" s="74"/>
      <c r="N23" s="49"/>
      <c r="Q23" s="73"/>
      <c r="R23" s="63" t="e">
        <f t="shared" si="1"/>
        <v>#DIV/0!</v>
      </c>
      <c r="S23" s="50" t="e">
        <f>O22*J22*R23</f>
        <v>#DIV/0!</v>
      </c>
      <c r="T23" s="50">
        <f>O22*J22</f>
        <v>0</v>
      </c>
      <c r="V23" s="51" t="e">
        <f>S29-V22</f>
        <v>#DIV/0!</v>
      </c>
    </row>
    <row r="24" spans="1:22" s="50" customFormat="1" ht="30" customHeight="1" x14ac:dyDescent="0.3">
      <c r="A24" s="68"/>
      <c r="B24" s="290" t="str">
        <f>IF(A24:A35="","",IF(L$4="sys/",VLOOKUP(A24:A35,#REF!,4,FALSE)))</f>
        <v/>
      </c>
      <c r="C24" s="291"/>
      <c r="D24" s="292"/>
      <c r="E24" s="293" t="str">
        <f>IF(A24:A35="","",IF(L$4="sys/",VLOOKUP(A24:A35,#REF!,7,FALSE)))</f>
        <v/>
      </c>
      <c r="F24" s="294"/>
      <c r="G24" s="53" t="str">
        <f>IF(A24:A35="","",IF(L$4="sys/",VLOOKUP(A24:A35,#REF!,9,FALSE)))</f>
        <v/>
      </c>
      <c r="H24" s="53"/>
      <c r="I24" s="53" t="str">
        <f>IF(A24:A35="","",IF(L$4="sys/",VLOOKUP(A24:A35,#REF!,8,FALSE)))</f>
        <v/>
      </c>
      <c r="J24" s="53"/>
      <c r="K24" s="53" t="str">
        <f t="shared" si="0"/>
        <v/>
      </c>
      <c r="L24" s="85"/>
      <c r="M24" s="74"/>
      <c r="N24" s="49"/>
      <c r="Q24" s="73"/>
      <c r="R24" s="63" t="e">
        <f t="shared" si="1"/>
        <v>#DIV/0!</v>
      </c>
      <c r="S24" s="50" t="e">
        <f>O23*J23*R24</f>
        <v>#DIV/0!</v>
      </c>
      <c r="T24" s="50">
        <f>O23*J23</f>
        <v>0</v>
      </c>
      <c r="V24" s="51"/>
    </row>
    <row r="25" spans="1:22" s="50" customFormat="1" ht="30" customHeight="1" x14ac:dyDescent="0.3">
      <c r="A25" s="68"/>
      <c r="B25" s="290" t="str">
        <f>IF(A25:A36="","",IF(L$4="sys/",VLOOKUP(A25:A36,#REF!,4,FALSE)))</f>
        <v/>
      </c>
      <c r="C25" s="291"/>
      <c r="D25" s="292"/>
      <c r="E25" s="293" t="str">
        <f>IF(A25:A36="","",IF(L$4="sys/",VLOOKUP(A25:A36,#REF!,7,FALSE)))</f>
        <v/>
      </c>
      <c r="F25" s="294"/>
      <c r="G25" s="53" t="str">
        <f>IF(A25:A36="","",IF(L$4="sys/",VLOOKUP(A25:A36,#REF!,9,FALSE)))</f>
        <v/>
      </c>
      <c r="H25" s="53"/>
      <c r="I25" s="53" t="str">
        <f>IF(A25:A36="","",IF(L$4="sys/",VLOOKUP(A25:A36,#REF!,8,FALSE)))</f>
        <v/>
      </c>
      <c r="J25" s="53"/>
      <c r="K25" s="53" t="str">
        <f t="shared" si="0"/>
        <v/>
      </c>
      <c r="L25" s="85"/>
      <c r="M25" s="74"/>
      <c r="N25" s="49"/>
      <c r="Q25" s="73"/>
      <c r="R25" s="63" t="e">
        <f t="shared" si="1"/>
        <v>#DIV/0!</v>
      </c>
      <c r="S25" s="50" t="e">
        <f>O24*J24*R25</f>
        <v>#DIV/0!</v>
      </c>
      <c r="T25" s="50">
        <f>O24*J24</f>
        <v>0</v>
      </c>
      <c r="V25" s="51"/>
    </row>
    <row r="26" spans="1:22" s="50" customFormat="1" ht="30" customHeight="1" x14ac:dyDescent="0.3">
      <c r="A26" s="68"/>
      <c r="B26" s="290" t="str">
        <f>IF(A26:A37="","",IF(L$4="sys/",VLOOKUP(A26:A37,#REF!,4,FALSE)))</f>
        <v/>
      </c>
      <c r="C26" s="291"/>
      <c r="D26" s="292"/>
      <c r="E26" s="293" t="str">
        <f>IF(A26:A37="","",IF(L$4="sys/",VLOOKUP(A26:A37,#REF!,7,FALSE)))</f>
        <v/>
      </c>
      <c r="F26" s="294"/>
      <c r="G26" s="53" t="str">
        <f>IF(A26:A37="","",IF(L$4="sys/",VLOOKUP(A26:A37,#REF!,9,FALSE)))</f>
        <v/>
      </c>
      <c r="H26" s="53"/>
      <c r="I26" s="53" t="str">
        <f>IF(A26:A37="","",IF(L$4="sys/",VLOOKUP(A26:A37,#REF!,8,FALSE)))</f>
        <v/>
      </c>
      <c r="J26" s="53"/>
      <c r="K26" s="53" t="str">
        <f t="shared" si="0"/>
        <v/>
      </c>
      <c r="L26" s="85"/>
      <c r="M26" s="74"/>
      <c r="N26" s="49"/>
      <c r="Q26" s="73"/>
      <c r="R26" s="63" t="e">
        <f t="shared" si="1"/>
        <v>#DIV/0!</v>
      </c>
      <c r="S26" s="50" t="e">
        <f>O25*J25*R26</f>
        <v>#DIV/0!</v>
      </c>
      <c r="V26" s="51"/>
    </row>
    <row r="27" spans="1:22" s="50" customFormat="1" ht="30" customHeight="1" x14ac:dyDescent="0.3">
      <c r="A27" s="68"/>
      <c r="B27" s="290" t="str">
        <f>IF(A27:A38="","",IF(L$4="sys/",VLOOKUP(A27:A38,#REF!,4,FALSE)))</f>
        <v/>
      </c>
      <c r="C27" s="291"/>
      <c r="D27" s="292"/>
      <c r="E27" s="293" t="str">
        <f>IF(A27:A38="","",IF(L$4="sys/",VLOOKUP(A27:A38,#REF!,7,FALSE)))</f>
        <v/>
      </c>
      <c r="F27" s="294"/>
      <c r="G27" s="53" t="str">
        <f>IF(A27:A38="","",IF(L$4="sys/",VLOOKUP(A27:A38,#REF!,9,FALSE)))</f>
        <v/>
      </c>
      <c r="H27" s="53"/>
      <c r="I27" s="53" t="str">
        <f>IF(A27:A38="","",IF(L$4="sys/",VLOOKUP(A27:A38,#REF!,8,FALSE)))</f>
        <v/>
      </c>
      <c r="J27" s="53"/>
      <c r="K27" s="53" t="str">
        <f t="shared" si="0"/>
        <v/>
      </c>
      <c r="L27" s="85"/>
      <c r="M27" s="74"/>
      <c r="N27" s="49"/>
      <c r="Q27" s="73"/>
      <c r="R27" s="63" t="e">
        <f t="shared" si="1"/>
        <v>#DIV/0!</v>
      </c>
      <c r="S27" s="50" t="e">
        <f>O26*J27*R27</f>
        <v>#DIV/0!</v>
      </c>
      <c r="V27" s="51"/>
    </row>
    <row r="28" spans="1:22" s="50" customFormat="1" ht="30" customHeight="1" x14ac:dyDescent="0.3">
      <c r="A28" s="68"/>
      <c r="B28" s="290" t="str">
        <f>IF(A28:A39="","",IF(L$4="sys/",VLOOKUP(A28:A39,#REF!,4,FALSE)))</f>
        <v/>
      </c>
      <c r="C28" s="291"/>
      <c r="D28" s="292"/>
      <c r="E28" s="293" t="str">
        <f>IF(A28:A39="","",IF(L$4="sys/",VLOOKUP(A28:A39,#REF!,7,FALSE)))</f>
        <v/>
      </c>
      <c r="F28" s="294"/>
      <c r="G28" s="53" t="str">
        <f>IF(A28:A39="","",IF(L$4="sys/",VLOOKUP(A28:A39,#REF!,9,FALSE)))</f>
        <v/>
      </c>
      <c r="H28" s="53"/>
      <c r="I28" s="53" t="str">
        <f>IF(A28:A39="","",IF(L$4="sys/",VLOOKUP(A28:A39,#REF!,8,FALSE)))</f>
        <v/>
      </c>
      <c r="J28" s="53"/>
      <c r="K28" s="53" t="str">
        <f t="shared" si="0"/>
        <v/>
      </c>
      <c r="L28" s="85"/>
      <c r="M28" s="74"/>
      <c r="N28" s="49"/>
      <c r="O28" s="76" t="s">
        <v>79</v>
      </c>
      <c r="R28" s="63"/>
      <c r="V28" s="51"/>
    </row>
    <row r="29" spans="1:22" ht="16.5" x14ac:dyDescent="0.3">
      <c r="A29" s="14" t="s">
        <v>5</v>
      </c>
      <c r="B29" s="7"/>
      <c r="C29" s="7"/>
      <c r="D29" s="7"/>
      <c r="E29" s="7"/>
      <c r="F29" s="7"/>
      <c r="G29" s="7"/>
      <c r="H29" s="7"/>
      <c r="I29" s="7"/>
      <c r="J29" s="25">
        <f>SUM(J17:J28)</f>
        <v>12000</v>
      </c>
      <c r="K29" s="25">
        <f>SUM(K17:K28)</f>
        <v>12720</v>
      </c>
      <c r="L29" s="25"/>
      <c r="M29" s="58">
        <f>SUM(M17:M28)</f>
        <v>446160</v>
      </c>
      <c r="P29" s="76"/>
      <c r="Q29" s="76"/>
      <c r="R29" s="76"/>
      <c r="S29" t="e">
        <f>SUM(S17:S28)</f>
        <v>#DIV/0!</v>
      </c>
      <c r="V29" s="47" t="e">
        <f>S29/M38</f>
        <v>#DIV/0!</v>
      </c>
    </row>
    <row r="30" spans="1:22" ht="21" x14ac:dyDescent="0.3">
      <c r="A30" s="286" t="s">
        <v>37</v>
      </c>
      <c r="B30" s="287"/>
      <c r="C30" s="271" t="s">
        <v>40</v>
      </c>
      <c r="D30" s="271"/>
      <c r="E30" s="6"/>
      <c r="F30" s="6"/>
      <c r="G30" s="6"/>
      <c r="H30" s="6"/>
      <c r="I30" s="6"/>
      <c r="J30" s="6"/>
      <c r="K30" s="295" t="s">
        <v>21</v>
      </c>
      <c r="L30" s="296"/>
      <c r="M30" s="57">
        <f>M29</f>
        <v>446160</v>
      </c>
      <c r="R30" s="46"/>
      <c r="V30" s="47"/>
    </row>
    <row r="31" spans="1:22" ht="18.75" x14ac:dyDescent="0.3">
      <c r="A31" s="286" t="s">
        <v>38</v>
      </c>
      <c r="B31" s="287"/>
      <c r="C31" s="271" t="s">
        <v>48</v>
      </c>
      <c r="D31" s="271"/>
      <c r="E31" s="6"/>
      <c r="F31" s="6"/>
      <c r="G31" s="6"/>
      <c r="H31" s="6"/>
      <c r="I31" s="6"/>
      <c r="J31" s="6"/>
      <c r="K31" s="288" t="s">
        <v>22</v>
      </c>
      <c r="L31" s="289"/>
      <c r="M31" s="56">
        <f>(R14*W13+S14*W14)*T14</f>
        <v>9900</v>
      </c>
      <c r="R31" s="47"/>
      <c r="V31" s="47"/>
    </row>
    <row r="32" spans="1:22" ht="16.5" customHeight="1" x14ac:dyDescent="0.3">
      <c r="A32" s="12" t="s">
        <v>46</v>
      </c>
      <c r="B32" s="6"/>
      <c r="C32" s="44" t="s">
        <v>28</v>
      </c>
      <c r="D32" s="6"/>
      <c r="E32" s="6"/>
      <c r="F32" s="6"/>
      <c r="G32" s="6"/>
      <c r="H32" s="6"/>
      <c r="I32" s="6"/>
      <c r="J32" s="6"/>
      <c r="K32" s="276" t="s">
        <v>26</v>
      </c>
      <c r="L32" s="277"/>
      <c r="M32" s="55">
        <v>0</v>
      </c>
      <c r="S32" s="69" t="s">
        <v>82</v>
      </c>
    </row>
    <row r="33" spans="1:19" ht="16.5" customHeight="1" x14ac:dyDescent="0.3">
      <c r="A33" s="15" t="str">
        <f>IF(B1=V1,X3,Y3)</f>
        <v>PAYEE:SINOCHEM TIANJIN CO., LTD</v>
      </c>
      <c r="B33" s="6"/>
      <c r="C33" s="6"/>
      <c r="D33" s="6"/>
      <c r="E33" s="6"/>
      <c r="F33" s="6"/>
      <c r="G33" s="6"/>
      <c r="H33" s="6"/>
      <c r="I33" s="6"/>
      <c r="J33" s="6"/>
      <c r="K33" s="276" t="s">
        <v>27</v>
      </c>
      <c r="L33" s="277"/>
      <c r="M33" s="55">
        <v>0</v>
      </c>
    </row>
    <row r="34" spans="1:19" ht="16.5" customHeight="1" x14ac:dyDescent="0.3">
      <c r="A34" s="16" t="s">
        <v>13</v>
      </c>
      <c r="B34" s="6"/>
      <c r="C34" s="6"/>
      <c r="D34" s="6"/>
      <c r="E34" s="6"/>
      <c r="F34" s="6"/>
      <c r="G34" s="6"/>
      <c r="H34" s="6"/>
      <c r="I34" s="6"/>
      <c r="J34" s="6"/>
      <c r="K34" s="6"/>
      <c r="L34" s="6"/>
      <c r="M34" s="55">
        <v>0</v>
      </c>
    </row>
    <row r="35" spans="1:19" ht="16.5" customHeight="1" x14ac:dyDescent="0.3">
      <c r="A35" s="16" t="s">
        <v>14</v>
      </c>
      <c r="B35" s="6"/>
      <c r="C35" s="6"/>
      <c r="D35" s="6"/>
      <c r="E35" s="6"/>
      <c r="F35" s="6"/>
      <c r="G35" s="6"/>
      <c r="H35" s="6"/>
      <c r="I35" s="6"/>
      <c r="J35" s="6"/>
      <c r="K35" s="6"/>
      <c r="L35" s="6"/>
      <c r="M35" s="55">
        <v>0</v>
      </c>
    </row>
    <row r="36" spans="1:19" ht="16.5" customHeight="1" x14ac:dyDescent="0.3">
      <c r="A36" s="16" t="s">
        <v>15</v>
      </c>
      <c r="B36" s="6"/>
      <c r="C36" s="6"/>
      <c r="D36" s="6"/>
      <c r="E36" s="6"/>
      <c r="F36" s="6"/>
      <c r="G36" s="6"/>
      <c r="H36" s="6"/>
      <c r="I36" s="6"/>
      <c r="J36" s="6"/>
      <c r="K36" s="6"/>
      <c r="L36" s="6"/>
      <c r="M36" s="55">
        <v>0</v>
      </c>
    </row>
    <row r="37" spans="1:19" ht="16.5" customHeight="1" x14ac:dyDescent="0.3">
      <c r="A37" s="16" t="s">
        <v>16</v>
      </c>
      <c r="B37" s="6"/>
      <c r="C37" s="6"/>
      <c r="D37" s="6"/>
      <c r="E37" s="6"/>
      <c r="F37" s="6"/>
      <c r="G37" s="6"/>
      <c r="H37" s="6"/>
      <c r="I37" s="6"/>
      <c r="J37" s="6"/>
      <c r="K37" s="6"/>
      <c r="L37" s="6"/>
      <c r="M37" s="55">
        <v>0</v>
      </c>
      <c r="O37" s="72">
        <v>426655.25</v>
      </c>
    </row>
    <row r="38" spans="1:19" ht="21.75" thickBot="1" x14ac:dyDescent="0.4">
      <c r="A38" s="16" t="str">
        <f>IF(B1=V1,X2,Y2)</f>
        <v>ACCOUNT NUMBER:10002000096220000016</v>
      </c>
      <c r="B38" s="1"/>
      <c r="C38" s="1"/>
      <c r="D38" s="1"/>
      <c r="E38" s="1"/>
      <c r="F38" s="1"/>
      <c r="G38" s="1"/>
      <c r="H38" s="1"/>
      <c r="I38" s="1"/>
      <c r="J38" s="1"/>
      <c r="K38" s="278" t="s">
        <v>25</v>
      </c>
      <c r="L38" s="279"/>
      <c r="M38" s="54">
        <f>SUM(M30+M31)</f>
        <v>456060</v>
      </c>
    </row>
    <row r="39" spans="1:19" ht="18.75" thickBot="1" x14ac:dyDescent="0.35">
      <c r="A39" s="280" t="s">
        <v>83</v>
      </c>
      <c r="B39" s="281"/>
      <c r="C39" s="282" t="e">
        <f ca="1">SpellNumber(M38)</f>
        <v>#NAME?</v>
      </c>
      <c r="D39" s="282"/>
      <c r="E39" s="282"/>
      <c r="F39" s="282"/>
      <c r="G39" s="282"/>
      <c r="H39" s="282"/>
      <c r="I39" s="282"/>
      <c r="J39" s="283"/>
      <c r="K39" s="1"/>
      <c r="L39" s="1"/>
      <c r="M39" s="45" t="s">
        <v>51</v>
      </c>
    </row>
    <row r="40" spans="1:19" x14ac:dyDescent="0.3">
      <c r="A40" s="284"/>
      <c r="B40" s="285"/>
      <c r="C40" s="285"/>
      <c r="D40" s="285"/>
      <c r="E40" s="285"/>
      <c r="F40" s="285"/>
      <c r="G40" s="285"/>
      <c r="H40" s="285"/>
      <c r="I40" s="285"/>
      <c r="J40" s="285"/>
      <c r="K40" s="1"/>
      <c r="L40" s="1"/>
      <c r="M40" s="17"/>
    </row>
    <row r="41" spans="1:19" ht="16.5" x14ac:dyDescent="0.3">
      <c r="A41" s="18" t="s">
        <v>8</v>
      </c>
      <c r="B41" s="5"/>
      <c r="C41" s="5"/>
      <c r="D41" s="5"/>
      <c r="E41" s="5"/>
      <c r="F41" s="5"/>
      <c r="G41" s="5"/>
      <c r="H41" s="5"/>
      <c r="I41" s="5"/>
      <c r="J41" s="5"/>
      <c r="K41" s="5"/>
      <c r="L41" s="5"/>
      <c r="M41" s="19"/>
    </row>
    <row r="42" spans="1:19" x14ac:dyDescent="0.3">
      <c r="A42" s="28" t="s">
        <v>4</v>
      </c>
      <c r="B42" s="27"/>
      <c r="C42" s="27" t="s">
        <v>28</v>
      </c>
      <c r="D42" s="27"/>
      <c r="E42" s="27"/>
      <c r="F42" s="27"/>
      <c r="G42" s="1"/>
      <c r="H42" s="1"/>
      <c r="I42" s="1"/>
      <c r="J42" s="1"/>
      <c r="K42" s="1"/>
      <c r="L42" s="1"/>
      <c r="M42" s="17"/>
    </row>
    <row r="43" spans="1:19" x14ac:dyDescent="0.3">
      <c r="A43" s="28" t="s">
        <v>2</v>
      </c>
      <c r="B43" s="27"/>
      <c r="C43" s="27" t="s">
        <v>28</v>
      </c>
      <c r="D43" s="27"/>
      <c r="E43" s="27"/>
      <c r="F43" s="27"/>
      <c r="G43" s="1"/>
      <c r="H43" s="1"/>
      <c r="I43" s="1"/>
      <c r="J43" s="1"/>
      <c r="K43" s="1"/>
      <c r="L43" s="1"/>
      <c r="M43" s="17"/>
      <c r="S43" t="e">
        <f ca="1">SpellNumber(M38)</f>
        <v>#NAME?</v>
      </c>
    </row>
    <row r="44" spans="1:19" x14ac:dyDescent="0.3">
      <c r="A44" s="28" t="s">
        <v>3</v>
      </c>
      <c r="B44" s="27"/>
      <c r="C44" s="27" t="s">
        <v>29</v>
      </c>
      <c r="D44" s="27"/>
      <c r="E44" s="27"/>
      <c r="F44" s="27"/>
      <c r="G44" s="1"/>
      <c r="H44" s="1"/>
      <c r="I44" s="1"/>
      <c r="J44" s="1"/>
      <c r="K44" s="1"/>
      <c r="L44" s="1"/>
      <c r="M44" s="17"/>
    </row>
    <row r="45" spans="1:19" x14ac:dyDescent="0.3">
      <c r="A45" s="28"/>
      <c r="B45" s="27"/>
      <c r="C45" s="27"/>
      <c r="D45" s="27"/>
      <c r="E45" s="27"/>
      <c r="F45" s="27"/>
      <c r="G45" s="1"/>
      <c r="H45" s="1"/>
      <c r="I45" s="1"/>
      <c r="J45" s="1"/>
      <c r="K45" s="1"/>
      <c r="L45" s="1"/>
      <c r="M45" s="17"/>
      <c r="R45" t="e">
        <f ca="1">SpellNumber(M38)</f>
        <v>#NAME?</v>
      </c>
    </row>
    <row r="46" spans="1:19" x14ac:dyDescent="0.3">
      <c r="A46" s="29" t="s">
        <v>6</v>
      </c>
      <c r="B46" s="26"/>
      <c r="C46" s="271" t="s">
        <v>24</v>
      </c>
      <c r="D46" s="271"/>
      <c r="E46" s="271"/>
      <c r="F46" s="271"/>
      <c r="G46" s="2"/>
      <c r="H46" s="2"/>
      <c r="I46" s="2"/>
      <c r="J46" s="2"/>
      <c r="K46" s="2"/>
      <c r="L46" s="2"/>
      <c r="M46" s="17"/>
      <c r="R46" t="e">
        <f ca="1">SpellNumber(M38)</f>
        <v>#NAME?</v>
      </c>
    </row>
    <row r="47" spans="1:19" x14ac:dyDescent="0.3">
      <c r="A47" s="20"/>
      <c r="B47" s="2"/>
      <c r="C47" s="2"/>
      <c r="D47" s="2"/>
      <c r="E47" s="2"/>
      <c r="F47" s="2"/>
      <c r="G47" s="2"/>
      <c r="H47" s="2"/>
      <c r="I47" s="2"/>
      <c r="J47" s="2"/>
      <c r="K47" s="2"/>
      <c r="L47" s="2"/>
      <c r="M47" s="17"/>
      <c r="R47" t="e">
        <f ca="1">SpellNumber(M38)</f>
        <v>#NAME?</v>
      </c>
    </row>
    <row r="48" spans="1:19" ht="15" customHeight="1" x14ac:dyDescent="0.3">
      <c r="A48" s="272" t="s">
        <v>30</v>
      </c>
      <c r="B48" s="273"/>
      <c r="C48" s="273"/>
      <c r="D48" s="273"/>
      <c r="E48" s="273"/>
      <c r="F48" s="273"/>
      <c r="G48" s="273"/>
      <c r="H48" s="78"/>
      <c r="I48" s="2"/>
      <c r="J48" s="2"/>
      <c r="K48" s="2"/>
      <c r="L48" s="2"/>
      <c r="M48" s="17"/>
    </row>
    <row r="49" spans="1:13" x14ac:dyDescent="0.3">
      <c r="A49" s="272"/>
      <c r="B49" s="273"/>
      <c r="C49" s="273"/>
      <c r="D49" s="273"/>
      <c r="E49" s="273"/>
      <c r="F49" s="273"/>
      <c r="G49" s="273"/>
      <c r="H49" s="78"/>
      <c r="I49" s="2"/>
      <c r="J49" s="2"/>
      <c r="K49" s="2"/>
      <c r="L49" s="2"/>
      <c r="M49" s="17"/>
    </row>
    <row r="50" spans="1:13" x14ac:dyDescent="0.3">
      <c r="A50" s="272"/>
      <c r="B50" s="273"/>
      <c r="C50" s="273"/>
      <c r="D50" s="273"/>
      <c r="E50" s="273"/>
      <c r="F50" s="273"/>
      <c r="G50" s="273"/>
      <c r="H50" s="78"/>
      <c r="I50" s="2"/>
      <c r="J50" s="2"/>
      <c r="K50" s="2"/>
      <c r="L50" s="2"/>
      <c r="M50" s="17"/>
    </row>
    <row r="51" spans="1:13" x14ac:dyDescent="0.3">
      <c r="A51" s="21" t="s">
        <v>92</v>
      </c>
      <c r="B51" s="4"/>
      <c r="C51" s="2"/>
      <c r="D51" s="2"/>
      <c r="E51" s="2"/>
      <c r="F51" s="2"/>
      <c r="G51" s="2"/>
      <c r="H51" s="2"/>
      <c r="I51" s="2"/>
      <c r="J51" s="2"/>
      <c r="K51" s="2"/>
      <c r="L51" s="2"/>
      <c r="M51" s="17"/>
    </row>
    <row r="52" spans="1:13" ht="15.75" thickBot="1" x14ac:dyDescent="0.35">
      <c r="A52" s="274" t="str">
        <f>IF(B1=V1,X1,Y1)</f>
        <v>SINOCHEM TIANJIN CO., LTD</v>
      </c>
      <c r="B52" s="275">
        <f>IF(C51=W51,Y51,Z51)</f>
        <v>0</v>
      </c>
      <c r="C52" s="275">
        <f>IF(D51=X51,Z51,AA51)</f>
        <v>0</v>
      </c>
      <c r="D52" s="275">
        <f>IF(E51=Y51,AA51,AB51)</f>
        <v>0</v>
      </c>
      <c r="E52" s="24"/>
      <c r="F52" s="22"/>
      <c r="G52" s="22"/>
      <c r="H52" s="22"/>
      <c r="I52" s="22"/>
      <c r="J52" s="22"/>
      <c r="K52" s="22"/>
      <c r="L52" s="22"/>
      <c r="M52" s="23"/>
    </row>
  </sheetData>
  <mergeCells count="53">
    <mergeCell ref="K10:L10"/>
    <mergeCell ref="K11:L11"/>
    <mergeCell ref="K12:L12"/>
    <mergeCell ref="K13:L13"/>
    <mergeCell ref="B1:F1"/>
    <mergeCell ref="L2:M2"/>
    <mergeCell ref="L3:M3"/>
    <mergeCell ref="J5:K5"/>
    <mergeCell ref="L5:M5"/>
    <mergeCell ref="O13:P14"/>
    <mergeCell ref="K14:L14"/>
    <mergeCell ref="B16:D16"/>
    <mergeCell ref="E16:F16"/>
    <mergeCell ref="B17:D17"/>
    <mergeCell ref="E17:F17"/>
    <mergeCell ref="K15:L15"/>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A31:B31"/>
    <mergeCell ref="C31:D31"/>
    <mergeCell ref="K31:L31"/>
    <mergeCell ref="B25:D25"/>
    <mergeCell ref="E25:F25"/>
    <mergeCell ref="B26:D26"/>
    <mergeCell ref="E26:F26"/>
    <mergeCell ref="B27:D27"/>
    <mergeCell ref="E27:F27"/>
    <mergeCell ref="B28:D28"/>
    <mergeCell ref="E28:F28"/>
    <mergeCell ref="A30:B30"/>
    <mergeCell ref="C30:D30"/>
    <mergeCell ref="K30:L30"/>
    <mergeCell ref="C46:F46"/>
    <mergeCell ref="A48:G50"/>
    <mergeCell ref="A52:D52"/>
    <mergeCell ref="K32:L32"/>
    <mergeCell ref="K33:L33"/>
    <mergeCell ref="K38:L38"/>
    <mergeCell ref="A39:B39"/>
    <mergeCell ref="C39:J39"/>
    <mergeCell ref="A40:J40"/>
  </mergeCells>
  <dataValidations count="2">
    <dataValidation type="list" allowBlank="1" showInputMessage="1" showErrorMessage="1" sqref="H17:H28" xr:uid="{00000000-0002-0000-1500-000000000000}">
      <formula1>$P$5:$P$7</formula1>
    </dataValidation>
    <dataValidation type="list" allowBlank="1" showInputMessage="1" showErrorMessage="1" sqref="B1:F1" xr:uid="{00000000-0002-0000-1500-000001000000}">
      <formula1>$V$1:$W$1</formula1>
    </dataValidation>
  </dataValidations>
  <printOptions horizontalCentered="1"/>
  <pageMargins left="0.51181102362204722" right="0.51181102362204722" top="0.51181102362204722" bottom="0.51181102362204722" header="0.51181102362204722" footer="0.23622047244094491"/>
  <pageSetup scale="65" fitToHeight="0" orientation="portrait"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pageSetUpPr fitToPage="1"/>
  </sheetPr>
  <dimension ref="A1:Y52"/>
  <sheetViews>
    <sheetView showGridLines="0" topLeftCell="A22" zoomScale="85" zoomScaleNormal="85" workbookViewId="0">
      <selection activeCell="O17" activeCellId="1" sqref="J17:J18 O17:O18"/>
    </sheetView>
  </sheetViews>
  <sheetFormatPr defaultRowHeight="15" x14ac:dyDescent="0.3"/>
  <cols>
    <col min="1" max="3" width="11.42578125" customWidth="1"/>
    <col min="4" max="4" width="13.5703125" customWidth="1"/>
    <col min="5" max="5" width="11.42578125" customWidth="1"/>
    <col min="6" max="6" width="17" customWidth="1"/>
    <col min="7" max="7" width="8.140625" bestFit="1" customWidth="1"/>
    <col min="8" max="8" width="8.140625" customWidth="1"/>
    <col min="9" max="12" width="11.42578125" customWidth="1"/>
    <col min="13" max="13" width="16.85546875" customWidth="1"/>
    <col min="14" max="14" width="10.85546875" bestFit="1" customWidth="1"/>
    <col min="15" max="15" width="9.85546875" bestFit="1" customWidth="1"/>
    <col min="18" max="18" width="11.85546875" bestFit="1" customWidth="1"/>
    <col min="22" max="22" width="13.7109375" bestFit="1" customWidth="1"/>
  </cols>
  <sheetData>
    <row r="1" spans="1:25" ht="78" customHeight="1" x14ac:dyDescent="0.45">
      <c r="A1" s="8"/>
      <c r="B1" s="306" t="s">
        <v>74</v>
      </c>
      <c r="C1" s="306"/>
      <c r="D1" s="306"/>
      <c r="E1" s="306"/>
      <c r="F1" s="306"/>
      <c r="G1" s="80"/>
      <c r="H1" s="80"/>
      <c r="I1" s="80"/>
      <c r="J1" s="80"/>
      <c r="K1" s="80"/>
      <c r="L1" s="80"/>
      <c r="M1" s="30" t="s">
        <v>7</v>
      </c>
    </row>
    <row r="2" spans="1:25" ht="16.5" x14ac:dyDescent="0.3">
      <c r="A2" s="38" t="s">
        <v>69</v>
      </c>
      <c r="B2" s="39"/>
      <c r="C2" s="39"/>
      <c r="D2" s="9"/>
      <c r="E2" s="9"/>
      <c r="F2" s="9"/>
      <c r="G2" s="9"/>
      <c r="H2" s="9"/>
      <c r="I2" s="9"/>
      <c r="J2" s="35"/>
      <c r="K2" s="36" t="s">
        <v>45</v>
      </c>
      <c r="L2" s="307" t="s">
        <v>97</v>
      </c>
      <c r="M2" s="308"/>
    </row>
    <row r="3" spans="1:25" ht="16.5" x14ac:dyDescent="0.3">
      <c r="A3" s="40" t="s">
        <v>11</v>
      </c>
      <c r="B3" s="41"/>
      <c r="C3" s="41"/>
      <c r="D3" s="10"/>
      <c r="E3" s="10"/>
      <c r="F3" s="10"/>
      <c r="G3" s="10"/>
      <c r="H3" s="10"/>
      <c r="I3" s="10"/>
      <c r="J3" s="37"/>
      <c r="K3" s="36" t="s">
        <v>44</v>
      </c>
      <c r="L3" s="307" t="s">
        <v>96</v>
      </c>
      <c r="M3" s="308"/>
    </row>
    <row r="4" spans="1:25" ht="15" customHeight="1" x14ac:dyDescent="0.3">
      <c r="A4" s="40" t="s">
        <v>12</v>
      </c>
      <c r="B4" s="41"/>
      <c r="C4" s="41"/>
      <c r="D4" s="9"/>
      <c r="E4" s="9"/>
      <c r="F4" s="9"/>
      <c r="G4" s="9"/>
      <c r="H4" s="9"/>
      <c r="I4" s="9"/>
      <c r="J4" s="35"/>
      <c r="K4" s="36" t="s">
        <v>47</v>
      </c>
      <c r="L4" s="79" t="s">
        <v>98</v>
      </c>
      <c r="M4" s="77" t="s">
        <v>103</v>
      </c>
    </row>
    <row r="5" spans="1:25" ht="16.5" x14ac:dyDescent="0.3">
      <c r="A5" s="40" t="s">
        <v>10</v>
      </c>
      <c r="B5" s="41"/>
      <c r="C5" s="41"/>
      <c r="D5" s="9"/>
      <c r="E5" s="9"/>
      <c r="F5" s="9"/>
      <c r="G5" s="9"/>
      <c r="H5" s="9"/>
      <c r="I5" s="9"/>
      <c r="J5" s="309"/>
      <c r="K5" s="309"/>
      <c r="L5" s="310"/>
      <c r="M5" s="311"/>
      <c r="P5" t="s">
        <v>105</v>
      </c>
    </row>
    <row r="6" spans="1:25" ht="16.5" x14ac:dyDescent="0.3">
      <c r="A6" s="40" t="s">
        <v>9</v>
      </c>
      <c r="B6" s="41"/>
      <c r="C6" s="41"/>
      <c r="D6" s="9"/>
      <c r="E6" s="9"/>
      <c r="F6" s="9"/>
      <c r="G6" s="9"/>
      <c r="H6" s="9"/>
      <c r="I6" s="9"/>
      <c r="J6" s="9"/>
      <c r="K6" s="9"/>
      <c r="L6" s="9"/>
      <c r="M6" s="11"/>
      <c r="P6" t="s">
        <v>106</v>
      </c>
    </row>
    <row r="7" spans="1:25" x14ac:dyDescent="0.3">
      <c r="A7" s="12"/>
      <c r="B7" s="1"/>
      <c r="C7" s="1"/>
      <c r="D7" s="9"/>
      <c r="E7" s="9"/>
      <c r="F7" s="9"/>
      <c r="G7" s="9"/>
      <c r="H7" s="9"/>
      <c r="I7" s="9"/>
      <c r="J7" s="9"/>
      <c r="K7" s="9"/>
      <c r="L7" s="9"/>
      <c r="M7" s="11"/>
      <c r="P7" t="s">
        <v>89</v>
      </c>
    </row>
    <row r="8" spans="1:25" x14ac:dyDescent="0.3">
      <c r="A8" s="12"/>
      <c r="B8" s="1"/>
      <c r="C8" s="1"/>
      <c r="D8" s="1"/>
      <c r="E8" s="1"/>
      <c r="F8" s="1"/>
      <c r="G8" s="1"/>
      <c r="H8" s="1"/>
      <c r="I8" s="1"/>
      <c r="J8" s="1"/>
      <c r="K8" s="1"/>
      <c r="L8" s="1"/>
      <c r="M8" s="11"/>
    </row>
    <row r="9" spans="1:25" ht="16.5" x14ac:dyDescent="0.3">
      <c r="A9" s="13" t="s">
        <v>1</v>
      </c>
      <c r="B9" s="3"/>
      <c r="C9" s="3"/>
      <c r="D9" s="3"/>
      <c r="E9" s="3"/>
      <c r="F9" s="3"/>
      <c r="G9" s="3"/>
      <c r="H9" s="3"/>
      <c r="I9" s="3"/>
      <c r="J9" s="3"/>
      <c r="K9" s="3"/>
      <c r="L9" s="3" t="s">
        <v>31</v>
      </c>
      <c r="M9" s="34"/>
    </row>
    <row r="10" spans="1:25" ht="16.5" x14ac:dyDescent="0.3">
      <c r="A10" s="40" t="s">
        <v>88</v>
      </c>
      <c r="B10" s="41"/>
      <c r="C10" s="41"/>
      <c r="D10" s="9"/>
      <c r="E10" s="9"/>
      <c r="F10" s="9"/>
      <c r="G10" s="9"/>
      <c r="H10" s="9"/>
      <c r="I10" s="9"/>
      <c r="J10" s="9"/>
      <c r="K10" s="299" t="s">
        <v>32</v>
      </c>
      <c r="L10" s="299"/>
      <c r="M10" s="59" t="s">
        <v>34</v>
      </c>
    </row>
    <row r="11" spans="1:25" ht="16.5" customHeight="1" x14ac:dyDescent="0.3">
      <c r="A11" s="40" t="s">
        <v>86</v>
      </c>
      <c r="B11" s="41"/>
      <c r="C11" s="41"/>
      <c r="D11" s="9"/>
      <c r="E11" s="9"/>
      <c r="F11" s="9"/>
      <c r="G11" s="9"/>
      <c r="H11" s="9"/>
      <c r="I11" s="9"/>
      <c r="J11" s="9"/>
      <c r="K11" s="299" t="s">
        <v>42</v>
      </c>
      <c r="L11" s="299"/>
      <c r="M11" s="59" t="s">
        <v>43</v>
      </c>
    </row>
    <row r="12" spans="1:25" ht="16.5" customHeight="1" x14ac:dyDescent="0.3">
      <c r="A12" s="40" t="s">
        <v>87</v>
      </c>
      <c r="B12" s="41"/>
      <c r="C12" s="41"/>
      <c r="D12" s="9"/>
      <c r="E12" s="9"/>
      <c r="F12" s="9"/>
      <c r="G12" s="9"/>
      <c r="H12" s="9"/>
      <c r="I12" s="9"/>
      <c r="J12" s="9"/>
      <c r="K12" s="299" t="s">
        <v>41</v>
      </c>
      <c r="L12" s="299"/>
      <c r="M12" s="61">
        <f xml:space="preserve"> K29</f>
        <v>12320</v>
      </c>
      <c r="W12" t="s">
        <v>80</v>
      </c>
      <c r="Y12" t="s">
        <v>36</v>
      </c>
    </row>
    <row r="13" spans="1:25" ht="16.5" customHeight="1" x14ac:dyDescent="0.3">
      <c r="A13" s="40" t="s">
        <v>85</v>
      </c>
      <c r="B13" s="41"/>
      <c r="C13" s="41"/>
      <c r="D13" s="9"/>
      <c r="E13" s="9"/>
      <c r="F13" s="9"/>
      <c r="G13" s="9"/>
      <c r="H13" s="9"/>
      <c r="I13" s="9"/>
      <c r="J13" s="9"/>
      <c r="K13" s="299" t="s">
        <v>35</v>
      </c>
      <c r="L13" s="299"/>
      <c r="M13" s="60" t="str">
        <f>IF(K29/J29=1.06,"Cartons",IF(K29/J29&gt;=1.12,"Drums","Cartons &amp; Drums"))</f>
        <v>Drums</v>
      </c>
      <c r="O13" s="215" t="s">
        <v>77</v>
      </c>
      <c r="P13" s="215"/>
      <c r="Q13" s="75"/>
      <c r="R13" s="64" t="s">
        <v>78</v>
      </c>
      <c r="S13" s="65" t="s">
        <v>76</v>
      </c>
      <c r="T13" t="s">
        <v>95</v>
      </c>
      <c r="V13" s="51" t="s">
        <v>75</v>
      </c>
      <c r="W13" s="50">
        <v>19800</v>
      </c>
      <c r="Y13" t="s">
        <v>67</v>
      </c>
    </row>
    <row r="14" spans="1:25" ht="16.5" customHeight="1" x14ac:dyDescent="0.3">
      <c r="A14" s="42" t="s">
        <v>84</v>
      </c>
      <c r="B14" s="43"/>
      <c r="C14" s="41"/>
      <c r="D14" s="9"/>
      <c r="E14" s="9"/>
      <c r="F14" s="9"/>
      <c r="G14" s="9"/>
      <c r="H14" s="9"/>
      <c r="I14" s="9"/>
      <c r="J14" s="9"/>
      <c r="K14" s="299" t="s">
        <v>33</v>
      </c>
      <c r="L14" s="299"/>
      <c r="M14" s="60">
        <f>J29/25</f>
        <v>440</v>
      </c>
      <c r="O14" s="215"/>
      <c r="P14" s="215"/>
      <c r="Q14" s="75"/>
      <c r="R14" s="75">
        <v>1</v>
      </c>
      <c r="S14" s="66"/>
      <c r="T14">
        <v>2</v>
      </c>
      <c r="V14" s="51" t="s">
        <v>76</v>
      </c>
      <c r="W14" s="50">
        <v>15000</v>
      </c>
      <c r="Y14" t="s">
        <v>91</v>
      </c>
    </row>
    <row r="15" spans="1:25" ht="12" customHeight="1" x14ac:dyDescent="0.3">
      <c r="A15" s="12"/>
      <c r="B15" s="1"/>
      <c r="C15" s="43"/>
      <c r="D15" s="1"/>
      <c r="E15" s="1"/>
      <c r="F15" s="1"/>
      <c r="G15" s="1"/>
      <c r="H15" s="1"/>
      <c r="I15" s="1"/>
      <c r="J15" s="1"/>
      <c r="K15" s="299"/>
      <c r="L15" s="299"/>
      <c r="M15" s="59"/>
      <c r="Y15" t="s">
        <v>89</v>
      </c>
    </row>
    <row r="16" spans="1:25" ht="48.75" customHeight="1" x14ac:dyDescent="0.3">
      <c r="A16" s="31" t="s">
        <v>17</v>
      </c>
      <c r="B16" s="312" t="s">
        <v>0</v>
      </c>
      <c r="C16" s="312"/>
      <c r="D16" s="312"/>
      <c r="E16" s="312" t="s">
        <v>39</v>
      </c>
      <c r="F16" s="312"/>
      <c r="G16" s="32" t="s">
        <v>18</v>
      </c>
      <c r="H16" s="32" t="s">
        <v>104</v>
      </c>
      <c r="I16" s="32" t="s">
        <v>19</v>
      </c>
      <c r="J16" s="32" t="s">
        <v>20</v>
      </c>
      <c r="K16" s="32" t="s">
        <v>23</v>
      </c>
      <c r="L16" s="32" t="s">
        <v>49</v>
      </c>
      <c r="M16" s="33" t="s">
        <v>50</v>
      </c>
      <c r="O16" s="32" t="s">
        <v>72</v>
      </c>
      <c r="P16" s="32" t="s">
        <v>81</v>
      </c>
      <c r="Q16" s="32" t="s">
        <v>94</v>
      </c>
      <c r="R16" s="32" t="s">
        <v>93</v>
      </c>
      <c r="S16" s="32" t="s">
        <v>73</v>
      </c>
    </row>
    <row r="17" spans="1:22" s="50" customFormat="1" ht="30" customHeight="1" x14ac:dyDescent="0.3">
      <c r="A17" s="67">
        <v>323</v>
      </c>
      <c r="B17" s="290" t="e">
        <f>IF(A17:A28="","",IF(L$4="sys/",VLOOKUP(A17:A28,#REF!,4,FALSE)))</f>
        <v>#REF!</v>
      </c>
      <c r="C17" s="291"/>
      <c r="D17" s="292"/>
      <c r="E17" s="293" t="e">
        <f>IF(A17:A28="","",IF(L$4="sys/",VLOOKUP(A17:A28,#REF!,7,FALSE)))</f>
        <v>#REF!</v>
      </c>
      <c r="F17" s="294"/>
      <c r="G17" s="53" t="e">
        <f>IF(A17:A28="","",IF(L$4="sys/",VLOOKUP(A17:A28,#REF!,9,FALSE)))</f>
        <v>#REF!</v>
      </c>
      <c r="H17" s="53" t="s">
        <v>106</v>
      </c>
      <c r="I17" s="53" t="e">
        <f>IF(A17:A28="","",IF(L$4="sys/",VLOOKUP(A17:A28,#REF!,8,FALSE)))</f>
        <v>#REF!</v>
      </c>
      <c r="J17" s="52">
        <v>1000</v>
      </c>
      <c r="K17" s="52">
        <f>IF(H17="","",IF(H17="carton",(J17*26.5/25),IF(H17="drum",J17*28/25,IF(H17="bale",0))))</f>
        <v>1120</v>
      </c>
      <c r="L17" s="82" t="str">
        <f t="shared" ref="L17:L24" si="0">FIXED(O17-(M$31/J$29),2,1)</f>
        <v>34.58</v>
      </c>
      <c r="M17" s="74">
        <f t="shared" ref="M17:M24" si="1">J17*L17</f>
        <v>34580</v>
      </c>
      <c r="N17" s="49"/>
      <c r="O17" s="70">
        <v>35.479999999999997</v>
      </c>
      <c r="P17" s="48">
        <v>28.5</v>
      </c>
      <c r="Q17" s="73">
        <v>0.03</v>
      </c>
      <c r="R17" s="63">
        <f>(O17-P17)/P17+Q17</f>
        <v>0.27491228070175427</v>
      </c>
      <c r="S17" s="50">
        <f>O17*J17*R17</f>
        <v>9753.8877192982418</v>
      </c>
      <c r="T17" s="50">
        <f>O17*J17</f>
        <v>35480</v>
      </c>
    </row>
    <row r="18" spans="1:22" s="50" customFormat="1" ht="30" customHeight="1" x14ac:dyDescent="0.3">
      <c r="A18" s="68">
        <v>306</v>
      </c>
      <c r="B18" s="290" t="e">
        <f>IF(A18:A29="","",IF(L$4="sys/",VLOOKUP(A18:A29,#REF!,4,FALSE)))</f>
        <v>#REF!</v>
      </c>
      <c r="C18" s="291"/>
      <c r="D18" s="292"/>
      <c r="E18" s="293" t="e">
        <f>IF(A18:A29="","",IF(L$4="sys/",VLOOKUP(A18:A29,#REF!,7,FALSE)))</f>
        <v>#REF!</v>
      </c>
      <c r="F18" s="294"/>
      <c r="G18" s="53" t="e">
        <f>IF(A18:A29="","",IF(L$4="sys/",VLOOKUP(A18:A29,#REF!,9,FALSE)))</f>
        <v>#REF!</v>
      </c>
      <c r="H18" s="53" t="s">
        <v>106</v>
      </c>
      <c r="I18" s="53" t="e">
        <f>IF(A18:A29="","",IF(L$4="sys/",VLOOKUP(A18:A29,#REF!,8,FALSE)))</f>
        <v>#REF!</v>
      </c>
      <c r="J18" s="53">
        <v>1000</v>
      </c>
      <c r="K18" s="53">
        <f t="shared" ref="K18:K28" si="2">IF(H18="","",IF(H18="carton",(J18*26.5/25),IF(H18="drum",J18*28/25,IF(H18="bale",0))))</f>
        <v>1120</v>
      </c>
      <c r="L18" s="81" t="str">
        <f t="shared" si="0"/>
        <v>29.37</v>
      </c>
      <c r="M18" s="74">
        <f t="shared" si="1"/>
        <v>29370</v>
      </c>
      <c r="N18" s="49"/>
      <c r="O18" s="70">
        <v>30.27</v>
      </c>
      <c r="P18" s="48">
        <v>24</v>
      </c>
      <c r="Q18" s="73">
        <v>0.03</v>
      </c>
      <c r="R18" s="63">
        <f>(O18-P18)/P18+Q18</f>
        <v>0.29125000000000001</v>
      </c>
      <c r="S18" s="50">
        <f>O18*J18*R18</f>
        <v>8816.1375000000007</v>
      </c>
      <c r="T18" s="50">
        <f>O18*J18</f>
        <v>30270</v>
      </c>
    </row>
    <row r="19" spans="1:22" s="50" customFormat="1" ht="30" customHeight="1" x14ac:dyDescent="0.3">
      <c r="A19" s="68">
        <v>310</v>
      </c>
      <c r="B19" s="290" t="e">
        <f>IF(A19:A30="","",IF(L$4="sys/",VLOOKUP(A19:A30,#REF!,4,FALSE)))</f>
        <v>#REF!</v>
      </c>
      <c r="C19" s="291"/>
      <c r="D19" s="292"/>
      <c r="E19" s="293" t="e">
        <f>IF(A19:A30="","",IF(L$4="sys/",VLOOKUP(A19:A30,#REF!,7,FALSE)))</f>
        <v>#REF!</v>
      </c>
      <c r="F19" s="294"/>
      <c r="G19" s="53" t="e">
        <f>IF(A19:A30="","",IF(L$4="sys/",VLOOKUP(A19:A30,#REF!,9,FALSE)))</f>
        <v>#REF!</v>
      </c>
      <c r="H19" s="53" t="s">
        <v>106</v>
      </c>
      <c r="I19" s="53" t="e">
        <f>IF(A19:A30="","",IF(L$4="sys/",VLOOKUP(A19:A30,#REF!,8,FALSE)))</f>
        <v>#REF!</v>
      </c>
      <c r="J19" s="53">
        <v>1500</v>
      </c>
      <c r="K19" s="53">
        <f t="shared" si="2"/>
        <v>1680</v>
      </c>
      <c r="L19" s="81" t="str">
        <f t="shared" si="0"/>
        <v>89.92</v>
      </c>
      <c r="M19" s="74">
        <f t="shared" si="1"/>
        <v>134880</v>
      </c>
      <c r="N19" s="49"/>
      <c r="O19" s="70">
        <v>90.82</v>
      </c>
      <c r="P19" s="48">
        <v>34</v>
      </c>
      <c r="Q19" s="73">
        <v>0.03</v>
      </c>
      <c r="R19" s="63">
        <f>(O19-P19)/P19+Q19</f>
        <v>1.7011764705882351</v>
      </c>
      <c r="S19" s="50">
        <f>O19*J19*R19</f>
        <v>231751.27058823526</v>
      </c>
      <c r="T19" s="50">
        <f>O19*J19</f>
        <v>136230</v>
      </c>
      <c r="V19" s="51"/>
    </row>
    <row r="20" spans="1:22" s="50" customFormat="1" ht="30" customHeight="1" x14ac:dyDescent="0.3">
      <c r="A20" s="68">
        <v>304</v>
      </c>
      <c r="B20" s="290" t="e">
        <f>IF(A20:A31="","",IF(L$4="sys/",VLOOKUP(A20:A31,#REF!,4,FALSE)))</f>
        <v>#REF!</v>
      </c>
      <c r="C20" s="291"/>
      <c r="D20" s="292"/>
      <c r="E20" s="293" t="e">
        <f>IF(A20:A31="","",IF(L$4="sys/",VLOOKUP(A20:A31,#REF!,7,FALSE)))</f>
        <v>#REF!</v>
      </c>
      <c r="F20" s="294"/>
      <c r="G20" s="53" t="e">
        <f>IF(A20:A31="","",IF(L$4="sys/",VLOOKUP(A20:A31,#REF!,9,FALSE)))</f>
        <v>#REF!</v>
      </c>
      <c r="H20" s="53" t="s">
        <v>106</v>
      </c>
      <c r="I20" s="53" t="e">
        <f>IF(A20:A31="","",IF(L$4="sys/",VLOOKUP(A20:A31,#REF!,8,FALSE)))</f>
        <v>#REF!</v>
      </c>
      <c r="J20" s="53">
        <v>1000</v>
      </c>
      <c r="K20" s="53">
        <f t="shared" si="2"/>
        <v>1120</v>
      </c>
      <c r="L20" s="81" t="str">
        <f t="shared" si="0"/>
        <v>61.75</v>
      </c>
      <c r="M20" s="74">
        <f t="shared" si="1"/>
        <v>61750</v>
      </c>
      <c r="N20" s="49"/>
      <c r="O20" s="70">
        <v>62.65</v>
      </c>
      <c r="P20" s="48">
        <v>36.5</v>
      </c>
      <c r="Q20" s="73">
        <v>0.03</v>
      </c>
      <c r="R20" s="63">
        <f>(O20-P20)/P20+Q20</f>
        <v>0.74643835616438359</v>
      </c>
      <c r="S20" s="50">
        <f>O20*J20*R20</f>
        <v>46764.363013698632</v>
      </c>
      <c r="T20" s="50">
        <f>O20*J20</f>
        <v>62650</v>
      </c>
    </row>
    <row r="21" spans="1:22" s="50" customFormat="1" ht="30" customHeight="1" x14ac:dyDescent="0.3">
      <c r="A21" s="68">
        <v>133</v>
      </c>
      <c r="B21" s="290" t="e">
        <f>IF(A21:A32="","",IF(L$4="sys/",VLOOKUP(A21:A32,#REF!,4,FALSE)))</f>
        <v>#REF!</v>
      </c>
      <c r="C21" s="291"/>
      <c r="D21" s="292"/>
      <c r="E21" s="293" t="e">
        <f>IF(A21:A32="","",IF(L$4="sys/",VLOOKUP(A21:A32,#REF!,7,FALSE)))</f>
        <v>#REF!</v>
      </c>
      <c r="F21" s="294"/>
      <c r="G21" s="53" t="e">
        <f>IF(A21:A32="","",IF(L$4="sys/",VLOOKUP(A21:A32,#REF!,9,FALSE)))</f>
        <v>#REF!</v>
      </c>
      <c r="H21" s="53" t="s">
        <v>106</v>
      </c>
      <c r="I21" s="53" t="e">
        <f>IF(A21:A32="","",IF(L$4="sys/",VLOOKUP(A21:A32,#REF!,8,FALSE)))</f>
        <v>#REF!</v>
      </c>
      <c r="J21" s="53">
        <v>500</v>
      </c>
      <c r="K21" s="53">
        <f t="shared" si="2"/>
        <v>560</v>
      </c>
      <c r="L21" s="81" t="str">
        <f t="shared" si="0"/>
        <v>65.85</v>
      </c>
      <c r="M21" s="74">
        <f t="shared" si="1"/>
        <v>32925</v>
      </c>
      <c r="N21" s="49"/>
      <c r="O21" s="70">
        <v>66.75</v>
      </c>
      <c r="P21" s="48">
        <v>38</v>
      </c>
      <c r="Q21" s="73">
        <v>0.03</v>
      </c>
      <c r="R21" s="63" t="e">
        <f>(#REF!-P21)/P21+Q21</f>
        <v>#REF!</v>
      </c>
      <c r="S21" s="50" t="e">
        <f>#REF!*#REF!*R21</f>
        <v>#REF!</v>
      </c>
      <c r="T21" s="50" t="e">
        <f>#REF!*#REF!</f>
        <v>#REF!</v>
      </c>
      <c r="V21" s="51"/>
    </row>
    <row r="22" spans="1:22" s="50" customFormat="1" ht="30" customHeight="1" x14ac:dyDescent="0.3">
      <c r="A22" s="68">
        <v>131</v>
      </c>
      <c r="B22" s="290" t="e">
        <f>IF(A22:A33="","",IF(L$4="sys/",VLOOKUP(A22:A33,#REF!,4,FALSE)))</f>
        <v>#REF!</v>
      </c>
      <c r="C22" s="291"/>
      <c r="D22" s="292"/>
      <c r="E22" s="293" t="e">
        <f>IF(A22:A33="","",IF(L$4="sys/",VLOOKUP(A22:A33,#REF!,7,FALSE)))</f>
        <v>#REF!</v>
      </c>
      <c r="F22" s="294"/>
      <c r="G22" s="53" t="e">
        <f>IF(A22:A33="","",IF(L$4="sys/",VLOOKUP(A22:A33,#REF!,9,FALSE)))</f>
        <v>#REF!</v>
      </c>
      <c r="H22" s="53" t="s">
        <v>106</v>
      </c>
      <c r="I22" s="53" t="e">
        <f>IF(A22:A33="","",IF(L$4="sys/",VLOOKUP(A22:A33,#REF!,8,FALSE)))</f>
        <v>#REF!</v>
      </c>
      <c r="J22" s="53">
        <v>1500</v>
      </c>
      <c r="K22" s="53">
        <f t="shared" si="2"/>
        <v>1680</v>
      </c>
      <c r="L22" s="81" t="str">
        <f t="shared" si="0"/>
        <v>17.91</v>
      </c>
      <c r="M22" s="74">
        <f t="shared" si="1"/>
        <v>26865</v>
      </c>
      <c r="N22" s="49"/>
      <c r="O22" s="50">
        <v>18.809999999999999</v>
      </c>
      <c r="P22" s="48">
        <v>31.5</v>
      </c>
      <c r="Q22" s="73">
        <v>0.03</v>
      </c>
      <c r="R22" s="63">
        <f t="shared" ref="R22:R27" si="3">(O21-P22)/P22+Q22</f>
        <v>1.1490476190476191</v>
      </c>
      <c r="S22" s="50">
        <f>O21*J21*R22</f>
        <v>38349.46428571429</v>
      </c>
      <c r="T22" s="50">
        <f>O21*J21</f>
        <v>33375</v>
      </c>
      <c r="V22" s="51">
        <f>M38*5.5%</f>
        <v>25597.275000000001</v>
      </c>
    </row>
    <row r="23" spans="1:22" s="50" customFormat="1" ht="30" customHeight="1" x14ac:dyDescent="0.3">
      <c r="A23" s="68">
        <v>158</v>
      </c>
      <c r="B23" s="290" t="e">
        <f>IF(A23:A34="","",IF(L$4="sys/",VLOOKUP(A23:A34,#REF!,4,FALSE)))</f>
        <v>#REF!</v>
      </c>
      <c r="C23" s="291"/>
      <c r="D23" s="292"/>
      <c r="E23" s="293" t="e">
        <f>IF(A23:A34="","",IF(L$4="sys/",VLOOKUP(A23:A34,#REF!,7,FALSE)))</f>
        <v>#REF!</v>
      </c>
      <c r="F23" s="294"/>
      <c r="G23" s="53" t="e">
        <f>IF(A23:A34="","",IF(L$4="sys/",VLOOKUP(A23:A34,#REF!,9,FALSE)))</f>
        <v>#REF!</v>
      </c>
      <c r="H23" s="53" t="s">
        <v>106</v>
      </c>
      <c r="I23" s="53" t="e">
        <f>IF(A23:A34="","",IF(L$4="sys/",VLOOKUP(A23:A34,#REF!,8,FALSE)))</f>
        <v>#REF!</v>
      </c>
      <c r="J23" s="53">
        <v>2500</v>
      </c>
      <c r="K23" s="53">
        <f t="shared" si="2"/>
        <v>2800</v>
      </c>
      <c r="L23" s="81" t="str">
        <f t="shared" si="0"/>
        <v>27.27</v>
      </c>
      <c r="M23" s="74">
        <f t="shared" si="1"/>
        <v>68175</v>
      </c>
      <c r="N23" s="49"/>
      <c r="O23" s="50">
        <v>28.17</v>
      </c>
      <c r="P23" s="50">
        <v>90.5</v>
      </c>
      <c r="Q23" s="73">
        <v>0.03</v>
      </c>
      <c r="R23" s="63">
        <f t="shared" si="3"/>
        <v>-0.76215469613259668</v>
      </c>
      <c r="S23" s="50">
        <f>O22*J22*R23</f>
        <v>-21504.194751381212</v>
      </c>
      <c r="T23" s="50">
        <f>O22*J22</f>
        <v>28214.999999999996</v>
      </c>
      <c r="V23" s="51" t="e">
        <f>S29-V22</f>
        <v>#REF!</v>
      </c>
    </row>
    <row r="24" spans="1:22" s="50" customFormat="1" ht="30" customHeight="1" x14ac:dyDescent="0.3">
      <c r="A24" s="68">
        <v>1088</v>
      </c>
      <c r="B24" s="290" t="e">
        <f>IF(A24:A35="","",IF(L$4="sys/",VLOOKUP(A24:A35,#REF!,4,FALSE)))</f>
        <v>#REF!</v>
      </c>
      <c r="C24" s="291"/>
      <c r="D24" s="292"/>
      <c r="E24" s="293" t="e">
        <f>IF(A24:A35="","",IF(L$4="sys/",VLOOKUP(A24:A35,#REF!,7,FALSE)))</f>
        <v>#REF!</v>
      </c>
      <c r="F24" s="294"/>
      <c r="G24" s="53" t="e">
        <f>IF(A24:A35="","",IF(L$4="sys/",VLOOKUP(A24:A35,#REF!,9,FALSE)))</f>
        <v>#REF!</v>
      </c>
      <c r="H24" s="53" t="s">
        <v>106</v>
      </c>
      <c r="I24" s="53" t="e">
        <f>IF(A24:A35="","",IF(L$4="sys/",VLOOKUP(A24:A35,#REF!,8,FALSE)))</f>
        <v>#REF!</v>
      </c>
      <c r="J24" s="53">
        <v>2000</v>
      </c>
      <c r="K24" s="53">
        <f t="shared" si="2"/>
        <v>2240</v>
      </c>
      <c r="L24" s="81" t="str">
        <f t="shared" si="0"/>
        <v>33.48</v>
      </c>
      <c r="M24" s="74">
        <f t="shared" si="1"/>
        <v>66960</v>
      </c>
      <c r="N24" s="49"/>
      <c r="O24" s="50">
        <v>34.380000000000003</v>
      </c>
      <c r="P24" s="50">
        <v>75</v>
      </c>
      <c r="Q24" s="73">
        <v>0.03</v>
      </c>
      <c r="R24" s="63">
        <f t="shared" si="3"/>
        <v>-0.59439999999999993</v>
      </c>
      <c r="S24" s="50">
        <f>O23*J23*R24</f>
        <v>-41860.619999999995</v>
      </c>
      <c r="T24" s="50">
        <f>O23*J23</f>
        <v>70425</v>
      </c>
      <c r="V24" s="51"/>
    </row>
    <row r="25" spans="1:22" s="50" customFormat="1" ht="30" customHeight="1" x14ac:dyDescent="0.3">
      <c r="A25" s="68"/>
      <c r="B25" s="290" t="str">
        <f>IF(A25:A36="","",IF(L$4="sys/",VLOOKUP(A25:A36,#REF!,4,FALSE)))</f>
        <v/>
      </c>
      <c r="C25" s="291"/>
      <c r="D25" s="292"/>
      <c r="E25" s="293" t="str">
        <f>IF(A25:A36="","",IF(L$4="sys/",VLOOKUP(A25:A36,#REF!,7,FALSE)))</f>
        <v/>
      </c>
      <c r="F25" s="294"/>
      <c r="G25" s="53" t="str">
        <f>IF(A25:A36="","",IF(L$4="sys/",VLOOKUP(A25:A36,#REF!,9,FALSE)))</f>
        <v/>
      </c>
      <c r="H25" s="53"/>
      <c r="I25" s="53" t="str">
        <f>IF(A25:A36="","",IF(L$4="sys/",VLOOKUP(A25:A36,#REF!,8,FALSE)))</f>
        <v/>
      </c>
      <c r="J25" s="53"/>
      <c r="K25" s="53" t="str">
        <f t="shared" si="2"/>
        <v/>
      </c>
      <c r="L25" s="81"/>
      <c r="M25" s="74"/>
      <c r="N25" s="49"/>
      <c r="P25" s="50">
        <v>33.200000000000003</v>
      </c>
      <c r="Q25" s="73">
        <v>0.03</v>
      </c>
      <c r="R25" s="63">
        <f t="shared" si="3"/>
        <v>6.5542168674698781E-2</v>
      </c>
      <c r="S25" s="50">
        <f>O24*J24*R25</f>
        <v>4506.6795180722884</v>
      </c>
      <c r="T25" s="50">
        <f>O24*J24</f>
        <v>68760</v>
      </c>
      <c r="V25" s="51"/>
    </row>
    <row r="26" spans="1:22" s="50" customFormat="1" ht="30" customHeight="1" x14ac:dyDescent="0.3">
      <c r="A26" s="68"/>
      <c r="B26" s="290" t="str">
        <f>IF(A26:A37="","",IF(L$4="sys/",VLOOKUP(A26:A37,#REF!,4,FALSE)))</f>
        <v/>
      </c>
      <c r="C26" s="291"/>
      <c r="D26" s="292"/>
      <c r="E26" s="293" t="str">
        <f>IF(A26:A37="","",IF(L$4="sys/",VLOOKUP(A26:A37,#REF!,7,FALSE)))</f>
        <v/>
      </c>
      <c r="F26" s="294"/>
      <c r="G26" s="53" t="str">
        <f>IF(A26:A37="","",IF(L$4="sys/",VLOOKUP(A26:A37,#REF!,9,FALSE)))</f>
        <v/>
      </c>
      <c r="H26" s="53"/>
      <c r="I26" s="53" t="str">
        <f>IF(A26:A37="","",IF(L$4="sys/",VLOOKUP(A26:A37,#REF!,8,FALSE)))</f>
        <v/>
      </c>
      <c r="J26" s="53"/>
      <c r="K26" s="53" t="str">
        <f t="shared" si="2"/>
        <v/>
      </c>
      <c r="L26" s="81"/>
      <c r="M26" s="74"/>
      <c r="N26" s="49"/>
      <c r="P26" s="50">
        <v>29.5</v>
      </c>
      <c r="Q26" s="73">
        <v>0.03</v>
      </c>
      <c r="R26" s="63">
        <f t="shared" si="3"/>
        <v>-0.97</v>
      </c>
      <c r="S26" s="50">
        <f>O25*J25*R26</f>
        <v>0</v>
      </c>
      <c r="V26" s="51"/>
    </row>
    <row r="27" spans="1:22" s="50" customFormat="1" ht="30" customHeight="1" x14ac:dyDescent="0.3">
      <c r="A27" s="68"/>
      <c r="B27" s="290" t="str">
        <f>IF(A27:A38="","",IF(L$4="sys/",VLOOKUP(A27:A38,#REF!,4,FALSE)))</f>
        <v/>
      </c>
      <c r="C27" s="291"/>
      <c r="D27" s="292"/>
      <c r="E27" s="293" t="str">
        <f>IF(A27:A38="","",IF(L$4="sys/",VLOOKUP(A27:A38,#REF!,7,FALSE)))</f>
        <v/>
      </c>
      <c r="F27" s="294"/>
      <c r="G27" s="53" t="str">
        <f>IF(A27:A38="","",IF(L$4="sys/",VLOOKUP(A27:A38,#REF!,9,FALSE)))</f>
        <v/>
      </c>
      <c r="H27" s="53"/>
      <c r="I27" s="53" t="str">
        <f>IF(A27:A38="","",IF(L$4="sys/",VLOOKUP(A27:A38,#REF!,8,FALSE)))</f>
        <v/>
      </c>
      <c r="J27" s="53"/>
      <c r="K27" s="53" t="str">
        <f t="shared" si="2"/>
        <v/>
      </c>
      <c r="L27" s="81"/>
      <c r="M27" s="74"/>
      <c r="N27" s="49"/>
      <c r="P27" s="50">
        <v>50.4</v>
      </c>
      <c r="Q27" s="73">
        <v>0.03</v>
      </c>
      <c r="R27" s="63">
        <f t="shared" si="3"/>
        <v>-0.97</v>
      </c>
      <c r="S27" s="50">
        <f>O26*J27*R27</f>
        <v>0</v>
      </c>
      <c r="V27" s="51"/>
    </row>
    <row r="28" spans="1:22" s="50" customFormat="1" ht="30" customHeight="1" x14ac:dyDescent="0.3">
      <c r="A28" s="68"/>
      <c r="B28" s="290" t="str">
        <f>IF(A28:A39="","",IF(L$4="sys/",VLOOKUP(A28:A39,#REF!,4,FALSE)))</f>
        <v/>
      </c>
      <c r="C28" s="291"/>
      <c r="D28" s="292"/>
      <c r="E28" s="293" t="str">
        <f>IF(A28:A39="","",IF(L$4="sys/",VLOOKUP(A28:A39,#REF!,7,FALSE)))</f>
        <v/>
      </c>
      <c r="F28" s="294"/>
      <c r="G28" s="53" t="str">
        <f>IF(A28:A39="","",IF(L$4="sys/",VLOOKUP(A28:A39,#REF!,9,FALSE)))</f>
        <v/>
      </c>
      <c r="H28" s="53"/>
      <c r="I28" s="53" t="str">
        <f>IF(A28:A39="","",IF(L$4="sys/",VLOOKUP(A28:A39,#REF!,8,FALSE)))</f>
        <v/>
      </c>
      <c r="J28" s="53"/>
      <c r="K28" s="53" t="str">
        <f t="shared" si="2"/>
        <v/>
      </c>
      <c r="L28" s="81"/>
      <c r="M28" s="74"/>
      <c r="N28" s="49"/>
      <c r="O28" s="76" t="s">
        <v>79</v>
      </c>
      <c r="R28" s="63"/>
      <c r="V28" s="51"/>
    </row>
    <row r="29" spans="1:22" ht="16.5" x14ac:dyDescent="0.3">
      <c r="A29" s="14" t="s">
        <v>5</v>
      </c>
      <c r="B29" s="7"/>
      <c r="C29" s="7"/>
      <c r="D29" s="7"/>
      <c r="E29" s="7"/>
      <c r="F29" s="7"/>
      <c r="G29" s="7"/>
      <c r="H29" s="7"/>
      <c r="I29" s="7"/>
      <c r="J29" s="25">
        <f>SUM(J17:J28)</f>
        <v>11000</v>
      </c>
      <c r="K29" s="25">
        <f>SUM(K17:K28)</f>
        <v>12320</v>
      </c>
      <c r="L29" s="25"/>
      <c r="M29" s="58">
        <f>SUM(M17:M28)</f>
        <v>455505</v>
      </c>
      <c r="P29" s="76"/>
      <c r="Q29" s="76"/>
      <c r="R29" s="76"/>
      <c r="S29" t="e">
        <f>SUM(S17:S28)</f>
        <v>#REF!</v>
      </c>
      <c r="V29" s="47" t="e">
        <f>S29/M38</f>
        <v>#REF!</v>
      </c>
    </row>
    <row r="30" spans="1:22" ht="21" x14ac:dyDescent="0.3">
      <c r="A30" s="286" t="s">
        <v>37</v>
      </c>
      <c r="B30" s="287"/>
      <c r="C30" s="271" t="s">
        <v>40</v>
      </c>
      <c r="D30" s="271"/>
      <c r="E30" s="6"/>
      <c r="F30" s="6"/>
      <c r="G30" s="6"/>
      <c r="H30" s="6"/>
      <c r="I30" s="6"/>
      <c r="J30" s="6"/>
      <c r="K30" s="295" t="s">
        <v>21</v>
      </c>
      <c r="L30" s="296"/>
      <c r="M30" s="57">
        <f>M29</f>
        <v>455505</v>
      </c>
      <c r="R30" s="46"/>
      <c r="V30" s="47"/>
    </row>
    <row r="31" spans="1:22" ht="18.75" x14ac:dyDescent="0.3">
      <c r="A31" s="286" t="s">
        <v>38</v>
      </c>
      <c r="B31" s="287"/>
      <c r="C31" s="271" t="s">
        <v>48</v>
      </c>
      <c r="D31" s="271"/>
      <c r="E31" s="6"/>
      <c r="F31" s="6"/>
      <c r="G31" s="6"/>
      <c r="H31" s="6"/>
      <c r="I31" s="6"/>
      <c r="J31" s="6"/>
      <c r="K31" s="288" t="s">
        <v>22</v>
      </c>
      <c r="L31" s="289"/>
      <c r="M31" s="56">
        <f>(R14*W13+S14*W14)/T14</f>
        <v>9900</v>
      </c>
      <c r="R31" s="47"/>
      <c r="V31" s="47"/>
    </row>
    <row r="32" spans="1:22" ht="16.5" customHeight="1" x14ac:dyDescent="0.3">
      <c r="A32" s="12" t="s">
        <v>46</v>
      </c>
      <c r="B32" s="6"/>
      <c r="C32" s="44" t="s">
        <v>28</v>
      </c>
      <c r="D32" s="6"/>
      <c r="E32" s="6"/>
      <c r="F32" s="6"/>
      <c r="G32" s="6"/>
      <c r="H32" s="6"/>
      <c r="I32" s="6"/>
      <c r="J32" s="6"/>
      <c r="K32" s="276" t="s">
        <v>26</v>
      </c>
      <c r="L32" s="277"/>
      <c r="M32" s="55">
        <v>0</v>
      </c>
      <c r="S32" s="69" t="s">
        <v>82</v>
      </c>
    </row>
    <row r="33" spans="1:19" ht="16.5" customHeight="1" x14ac:dyDescent="0.3">
      <c r="A33" s="15" t="s">
        <v>68</v>
      </c>
      <c r="B33" s="6"/>
      <c r="C33" s="6"/>
      <c r="D33" s="6"/>
      <c r="E33" s="6"/>
      <c r="F33" s="6"/>
      <c r="G33" s="6"/>
      <c r="H33" s="6"/>
      <c r="I33" s="6"/>
      <c r="J33" s="6"/>
      <c r="K33" s="276" t="s">
        <v>27</v>
      </c>
      <c r="L33" s="277"/>
      <c r="M33" s="55">
        <v>0</v>
      </c>
    </row>
    <row r="34" spans="1:19" ht="16.5" customHeight="1" x14ac:dyDescent="0.3">
      <c r="A34" s="16" t="s">
        <v>13</v>
      </c>
      <c r="B34" s="6"/>
      <c r="C34" s="6"/>
      <c r="D34" s="6"/>
      <c r="E34" s="6"/>
      <c r="F34" s="6"/>
      <c r="G34" s="6"/>
      <c r="H34" s="6"/>
      <c r="I34" s="6"/>
      <c r="J34" s="6"/>
      <c r="K34" s="6"/>
      <c r="L34" s="6"/>
      <c r="M34" s="55">
        <v>0</v>
      </c>
    </row>
    <row r="35" spans="1:19" ht="16.5" customHeight="1" x14ac:dyDescent="0.3">
      <c r="A35" s="16" t="s">
        <v>14</v>
      </c>
      <c r="B35" s="6"/>
      <c r="C35" s="6"/>
      <c r="D35" s="6"/>
      <c r="E35" s="6"/>
      <c r="F35" s="6"/>
      <c r="G35" s="6"/>
      <c r="H35" s="6"/>
      <c r="I35" s="6"/>
      <c r="J35" s="6"/>
      <c r="K35" s="6"/>
      <c r="L35" s="6"/>
      <c r="M35" s="55">
        <v>0</v>
      </c>
    </row>
    <row r="36" spans="1:19" ht="16.5" customHeight="1" x14ac:dyDescent="0.3">
      <c r="A36" s="16" t="s">
        <v>15</v>
      </c>
      <c r="B36" s="6"/>
      <c r="C36" s="6"/>
      <c r="D36" s="6"/>
      <c r="E36" s="6"/>
      <c r="F36" s="6"/>
      <c r="G36" s="6"/>
      <c r="H36" s="6"/>
      <c r="I36" s="6"/>
      <c r="J36" s="6"/>
      <c r="K36" s="6"/>
      <c r="L36" s="6"/>
      <c r="M36" s="55">
        <v>0</v>
      </c>
    </row>
    <row r="37" spans="1:19" ht="16.5" customHeight="1" x14ac:dyDescent="0.3">
      <c r="A37" s="16" t="s">
        <v>16</v>
      </c>
      <c r="B37" s="6"/>
      <c r="C37" s="6"/>
      <c r="D37" s="6"/>
      <c r="E37" s="6"/>
      <c r="F37" s="6"/>
      <c r="G37" s="6"/>
      <c r="H37" s="6"/>
      <c r="I37" s="6"/>
      <c r="J37" s="6"/>
      <c r="K37" s="6"/>
      <c r="L37" s="6"/>
      <c r="M37" s="55">
        <v>0</v>
      </c>
      <c r="O37" s="72">
        <v>426655.25</v>
      </c>
    </row>
    <row r="38" spans="1:19" ht="21.75" thickBot="1" x14ac:dyDescent="0.4">
      <c r="A38" s="16" t="s">
        <v>65</v>
      </c>
      <c r="B38" s="1"/>
      <c r="C38" s="1"/>
      <c r="D38" s="1"/>
      <c r="E38" s="1"/>
      <c r="F38" s="1"/>
      <c r="G38" s="1"/>
      <c r="H38" s="1"/>
      <c r="I38" s="1"/>
      <c r="J38" s="1"/>
      <c r="K38" s="278" t="s">
        <v>25</v>
      </c>
      <c r="L38" s="279"/>
      <c r="M38" s="54">
        <f>SUM(M30+M31)</f>
        <v>465405</v>
      </c>
    </row>
    <row r="39" spans="1:19" ht="18.75" thickBot="1" x14ac:dyDescent="0.35">
      <c r="A39" s="280" t="s">
        <v>83</v>
      </c>
      <c r="B39" s="281"/>
      <c r="C39" s="282" t="e">
        <f ca="1">SpellNumber(M38)</f>
        <v>#NAME?</v>
      </c>
      <c r="D39" s="282"/>
      <c r="E39" s="282"/>
      <c r="F39" s="282"/>
      <c r="G39" s="282"/>
      <c r="H39" s="282"/>
      <c r="I39" s="282"/>
      <c r="J39" s="283"/>
      <c r="K39" s="1"/>
      <c r="L39" s="1"/>
      <c r="M39" s="45" t="s">
        <v>51</v>
      </c>
    </row>
    <row r="40" spans="1:19" x14ac:dyDescent="0.3">
      <c r="A40" s="284"/>
      <c r="B40" s="285"/>
      <c r="C40" s="285"/>
      <c r="D40" s="285"/>
      <c r="E40" s="285"/>
      <c r="F40" s="285"/>
      <c r="G40" s="285"/>
      <c r="H40" s="285"/>
      <c r="I40" s="285"/>
      <c r="J40" s="285"/>
      <c r="K40" s="1"/>
      <c r="L40" s="1"/>
      <c r="M40" s="17"/>
    </row>
    <row r="41" spans="1:19" ht="16.5" x14ac:dyDescent="0.3">
      <c r="A41" s="18" t="s">
        <v>8</v>
      </c>
      <c r="B41" s="5"/>
      <c r="C41" s="5"/>
      <c r="D41" s="5"/>
      <c r="E41" s="5"/>
      <c r="F41" s="5"/>
      <c r="G41" s="5"/>
      <c r="H41" s="5"/>
      <c r="I41" s="5"/>
      <c r="J41" s="5"/>
      <c r="K41" s="5"/>
      <c r="L41" s="5"/>
      <c r="M41" s="19"/>
    </row>
    <row r="42" spans="1:19" x14ac:dyDescent="0.3">
      <c r="A42" s="28" t="s">
        <v>4</v>
      </c>
      <c r="B42" s="27"/>
      <c r="C42" s="27" t="s">
        <v>28</v>
      </c>
      <c r="D42" s="27"/>
      <c r="E42" s="27"/>
      <c r="F42" s="27"/>
      <c r="G42" s="1"/>
      <c r="H42" s="1"/>
      <c r="I42" s="1"/>
      <c r="J42" s="1"/>
      <c r="K42" s="1"/>
      <c r="L42" s="1"/>
      <c r="M42" s="17"/>
    </row>
    <row r="43" spans="1:19" x14ac:dyDescent="0.3">
      <c r="A43" s="28" t="s">
        <v>2</v>
      </c>
      <c r="B43" s="27"/>
      <c r="C43" s="27" t="s">
        <v>28</v>
      </c>
      <c r="D43" s="27"/>
      <c r="E43" s="27"/>
      <c r="F43" s="27"/>
      <c r="G43" s="1"/>
      <c r="H43" s="1"/>
      <c r="I43" s="1"/>
      <c r="J43" s="1"/>
      <c r="K43" s="1"/>
      <c r="L43" s="1"/>
      <c r="M43" s="17"/>
      <c r="S43" t="e">
        <f ca="1">SpellNumber(M38)</f>
        <v>#NAME?</v>
      </c>
    </row>
    <row r="44" spans="1:19" x14ac:dyDescent="0.3">
      <c r="A44" s="28" t="s">
        <v>3</v>
      </c>
      <c r="B44" s="27"/>
      <c r="C44" s="27" t="s">
        <v>29</v>
      </c>
      <c r="D44" s="27"/>
      <c r="E44" s="27"/>
      <c r="F44" s="27"/>
      <c r="G44" s="1"/>
      <c r="H44" s="1"/>
      <c r="I44" s="1"/>
      <c r="J44" s="1"/>
      <c r="K44" s="1"/>
      <c r="L44" s="1"/>
      <c r="M44" s="17"/>
    </row>
    <row r="45" spans="1:19" x14ac:dyDescent="0.3">
      <c r="A45" s="28"/>
      <c r="B45" s="27"/>
      <c r="C45" s="27"/>
      <c r="D45" s="27"/>
      <c r="E45" s="27"/>
      <c r="F45" s="27"/>
      <c r="G45" s="1"/>
      <c r="H45" s="1"/>
      <c r="I45" s="1"/>
      <c r="J45" s="1"/>
      <c r="K45" s="1"/>
      <c r="L45" s="1"/>
      <c r="M45" s="17"/>
      <c r="R45" t="e">
        <f ca="1">SpellNumber(M38)</f>
        <v>#NAME?</v>
      </c>
    </row>
    <row r="46" spans="1:19" x14ac:dyDescent="0.3">
      <c r="A46" s="29" t="s">
        <v>6</v>
      </c>
      <c r="B46" s="26"/>
      <c r="C46" s="271" t="s">
        <v>24</v>
      </c>
      <c r="D46" s="271"/>
      <c r="E46" s="271"/>
      <c r="F46" s="271"/>
      <c r="G46" s="2"/>
      <c r="H46" s="2"/>
      <c r="I46" s="2"/>
      <c r="J46" s="2"/>
      <c r="K46" s="2"/>
      <c r="L46" s="2"/>
      <c r="M46" s="17"/>
      <c r="R46" t="e">
        <f ca="1">SpellNumber(M38)</f>
        <v>#NAME?</v>
      </c>
    </row>
    <row r="47" spans="1:19" x14ac:dyDescent="0.3">
      <c r="A47" s="20"/>
      <c r="B47" s="2"/>
      <c r="C47" s="2"/>
      <c r="D47" s="2"/>
      <c r="E47" s="2"/>
      <c r="F47" s="2"/>
      <c r="G47" s="2"/>
      <c r="H47" s="2"/>
      <c r="I47" s="2"/>
      <c r="J47" s="2"/>
      <c r="K47" s="2"/>
      <c r="L47" s="2"/>
      <c r="M47" s="17"/>
      <c r="R47" t="e">
        <f ca="1">SpellNumber(M38)</f>
        <v>#NAME?</v>
      </c>
    </row>
    <row r="48" spans="1:19" ht="15" customHeight="1" x14ac:dyDescent="0.3">
      <c r="A48" s="272" t="s">
        <v>30</v>
      </c>
      <c r="B48" s="273"/>
      <c r="C48" s="273"/>
      <c r="D48" s="273"/>
      <c r="E48" s="273"/>
      <c r="F48" s="273"/>
      <c r="G48" s="273"/>
      <c r="H48" s="78"/>
      <c r="I48" s="2"/>
      <c r="J48" s="2"/>
      <c r="K48" s="2"/>
      <c r="L48" s="2"/>
      <c r="M48" s="17"/>
    </row>
    <row r="49" spans="1:13" x14ac:dyDescent="0.3">
      <c r="A49" s="272"/>
      <c r="B49" s="273"/>
      <c r="C49" s="273"/>
      <c r="D49" s="273"/>
      <c r="E49" s="273"/>
      <c r="F49" s="273"/>
      <c r="G49" s="273"/>
      <c r="H49" s="78"/>
      <c r="I49" s="2"/>
      <c r="J49" s="2"/>
      <c r="K49" s="2"/>
      <c r="L49" s="2"/>
      <c r="M49" s="17"/>
    </row>
    <row r="50" spans="1:13" x14ac:dyDescent="0.3">
      <c r="A50" s="272"/>
      <c r="B50" s="273"/>
      <c r="C50" s="273"/>
      <c r="D50" s="273"/>
      <c r="E50" s="273"/>
      <c r="F50" s="273"/>
      <c r="G50" s="273"/>
      <c r="H50" s="78"/>
      <c r="I50" s="2"/>
      <c r="J50" s="2"/>
      <c r="K50" s="2"/>
      <c r="L50" s="2"/>
      <c r="M50" s="17"/>
    </row>
    <row r="51" spans="1:13" x14ac:dyDescent="0.3">
      <c r="A51" s="21" t="s">
        <v>92</v>
      </c>
      <c r="B51" s="4"/>
      <c r="C51" s="2"/>
      <c r="D51" s="2"/>
      <c r="E51" s="2"/>
      <c r="F51" s="2"/>
      <c r="G51" s="2"/>
      <c r="H51" s="2"/>
      <c r="I51" s="2"/>
      <c r="J51" s="2"/>
      <c r="K51" s="2"/>
      <c r="L51" s="2"/>
      <c r="M51" s="17"/>
    </row>
    <row r="52" spans="1:13" ht="15.75" thickBot="1" x14ac:dyDescent="0.35">
      <c r="A52" s="274" t="s">
        <v>66</v>
      </c>
      <c r="B52" s="275"/>
      <c r="C52" s="275"/>
      <c r="D52" s="275"/>
      <c r="E52" s="24"/>
      <c r="F52" s="22"/>
      <c r="G52" s="22"/>
      <c r="H52" s="22"/>
      <c r="I52" s="22"/>
      <c r="J52" s="22"/>
      <c r="K52" s="22"/>
      <c r="L52" s="22"/>
      <c r="M52" s="23"/>
    </row>
  </sheetData>
  <mergeCells count="53">
    <mergeCell ref="K10:L10"/>
    <mergeCell ref="K11:L11"/>
    <mergeCell ref="K12:L12"/>
    <mergeCell ref="K13:L13"/>
    <mergeCell ref="B1:F1"/>
    <mergeCell ref="L2:M2"/>
    <mergeCell ref="L3:M3"/>
    <mergeCell ref="J5:K5"/>
    <mergeCell ref="L5:M5"/>
    <mergeCell ref="O13:P14"/>
    <mergeCell ref="K14:L14"/>
    <mergeCell ref="B19:D19"/>
    <mergeCell ref="E19:F19"/>
    <mergeCell ref="B20:D20"/>
    <mergeCell ref="E20:F20"/>
    <mergeCell ref="K15:L15"/>
    <mergeCell ref="B16:D16"/>
    <mergeCell ref="E16:F16"/>
    <mergeCell ref="B17:D17"/>
    <mergeCell ref="E18:F18"/>
    <mergeCell ref="E17:F17"/>
    <mergeCell ref="B18:D18"/>
    <mergeCell ref="B21:D21"/>
    <mergeCell ref="E21:F21"/>
    <mergeCell ref="B22:D22"/>
    <mergeCell ref="E22:F22"/>
    <mergeCell ref="B23:D23"/>
    <mergeCell ref="E23:F23"/>
    <mergeCell ref="B24:D24"/>
    <mergeCell ref="E24:F24"/>
    <mergeCell ref="B25:D25"/>
    <mergeCell ref="E25:F25"/>
    <mergeCell ref="A40:J40"/>
    <mergeCell ref="B28:D28"/>
    <mergeCell ref="E28:F28"/>
    <mergeCell ref="A30:B30"/>
    <mergeCell ref="C30:D30"/>
    <mergeCell ref="A52:D52"/>
    <mergeCell ref="B26:D26"/>
    <mergeCell ref="E26:F26"/>
    <mergeCell ref="K32:L32"/>
    <mergeCell ref="K33:L33"/>
    <mergeCell ref="K38:L38"/>
    <mergeCell ref="A39:B39"/>
    <mergeCell ref="C39:J39"/>
    <mergeCell ref="K30:L30"/>
    <mergeCell ref="A31:B31"/>
    <mergeCell ref="C31:D31"/>
    <mergeCell ref="K31:L31"/>
    <mergeCell ref="C46:F46"/>
    <mergeCell ref="A48:G50"/>
    <mergeCell ref="B27:D27"/>
    <mergeCell ref="E27:F27"/>
  </mergeCells>
  <dataValidations count="1">
    <dataValidation type="list" allowBlank="1" showInputMessage="1" showErrorMessage="1" sqref="H17:H28" xr:uid="{00000000-0002-0000-1600-000000000000}">
      <formula1>$P$5:$P$7</formula1>
    </dataValidation>
  </dataValidations>
  <printOptions horizontalCentered="1"/>
  <pageMargins left="0.51181102362204722" right="0.51181102362204722" top="0.51181102362204722" bottom="0.51181102362204722" header="0.51181102362204722" footer="0.23622047244094491"/>
  <pageSetup scale="65" fitToHeight="0" orientation="portrait" r:id="rId1"/>
  <headerFooter alignWithMargins="0"/>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pageSetUpPr fitToPage="1"/>
  </sheetPr>
  <dimension ref="A1:Y52"/>
  <sheetViews>
    <sheetView showGridLines="0" topLeftCell="A10" zoomScale="85" zoomScaleNormal="85" workbookViewId="0">
      <selection activeCell="O17" activeCellId="1" sqref="J17:J18 O17:O18"/>
    </sheetView>
  </sheetViews>
  <sheetFormatPr defaultRowHeight="15" x14ac:dyDescent="0.3"/>
  <cols>
    <col min="1" max="3" width="11.42578125" customWidth="1"/>
    <col min="4" max="4" width="13.5703125" customWidth="1"/>
    <col min="5" max="5" width="11.42578125" customWidth="1"/>
    <col min="6" max="6" width="17" customWidth="1"/>
    <col min="7" max="7" width="8.140625" bestFit="1" customWidth="1"/>
    <col min="8" max="8" width="7.42578125" bestFit="1" customWidth="1"/>
    <col min="9" max="12" width="11.42578125" customWidth="1"/>
    <col min="13" max="13" width="16.85546875" customWidth="1"/>
    <col min="14" max="14" width="10.85546875" bestFit="1" customWidth="1"/>
    <col min="15" max="15" width="9.85546875" bestFit="1" customWidth="1"/>
    <col min="18" max="18" width="11.85546875" bestFit="1" customWidth="1"/>
    <col min="22" max="22" width="13.7109375" bestFit="1" customWidth="1"/>
  </cols>
  <sheetData>
    <row r="1" spans="1:25" ht="78" customHeight="1" x14ac:dyDescent="0.45">
      <c r="A1" s="8"/>
      <c r="B1" s="306" t="s">
        <v>74</v>
      </c>
      <c r="C1" s="306"/>
      <c r="D1" s="306"/>
      <c r="E1" s="306"/>
      <c r="F1" s="306"/>
      <c r="G1" s="80"/>
      <c r="H1" s="80"/>
      <c r="I1" s="80"/>
      <c r="J1" s="80"/>
      <c r="K1" s="80"/>
      <c r="L1" s="80"/>
      <c r="M1" s="30" t="s">
        <v>7</v>
      </c>
    </row>
    <row r="2" spans="1:25" ht="16.5" x14ac:dyDescent="0.3">
      <c r="A2" s="38" t="s">
        <v>69</v>
      </c>
      <c r="B2" s="39"/>
      <c r="C2" s="39"/>
      <c r="D2" s="9"/>
      <c r="E2" s="9"/>
      <c r="F2" s="9"/>
      <c r="G2" s="9"/>
      <c r="H2" s="9"/>
      <c r="I2" s="9"/>
      <c r="J2" s="35"/>
      <c r="K2" s="36" t="s">
        <v>45</v>
      </c>
      <c r="L2" s="307" t="s">
        <v>97</v>
      </c>
      <c r="M2" s="308"/>
    </row>
    <row r="3" spans="1:25" ht="16.5" x14ac:dyDescent="0.3">
      <c r="A3" s="40" t="s">
        <v>11</v>
      </c>
      <c r="B3" s="41"/>
      <c r="C3" s="41"/>
      <c r="D3" s="10"/>
      <c r="E3" s="10"/>
      <c r="F3" s="10"/>
      <c r="G3" s="10"/>
      <c r="H3" s="10"/>
      <c r="I3" s="10"/>
      <c r="J3" s="37"/>
      <c r="K3" s="36" t="s">
        <v>44</v>
      </c>
      <c r="L3" s="307" t="s">
        <v>96</v>
      </c>
      <c r="M3" s="308"/>
    </row>
    <row r="4" spans="1:25" ht="15" customHeight="1" x14ac:dyDescent="0.3">
      <c r="A4" s="40" t="s">
        <v>12</v>
      </c>
      <c r="B4" s="41"/>
      <c r="C4" s="41"/>
      <c r="D4" s="9"/>
      <c r="E4" s="9"/>
      <c r="F4" s="9"/>
      <c r="G4" s="9"/>
      <c r="H4" s="9"/>
      <c r="I4" s="9"/>
      <c r="J4" s="35"/>
      <c r="K4" s="36" t="s">
        <v>47</v>
      </c>
      <c r="L4" s="79" t="s">
        <v>98</v>
      </c>
      <c r="M4" s="77" t="s">
        <v>107</v>
      </c>
    </row>
    <row r="5" spans="1:25" ht="16.5" x14ac:dyDescent="0.3">
      <c r="A5" s="40" t="s">
        <v>10</v>
      </c>
      <c r="B5" s="41"/>
      <c r="C5" s="41"/>
      <c r="D5" s="9"/>
      <c r="E5" s="9"/>
      <c r="F5" s="9"/>
      <c r="G5" s="9"/>
      <c r="H5" s="9"/>
      <c r="I5" s="9"/>
      <c r="J5" s="309"/>
      <c r="K5" s="309"/>
      <c r="L5" s="310"/>
      <c r="M5" s="311"/>
      <c r="P5" t="s">
        <v>105</v>
      </c>
    </row>
    <row r="6" spans="1:25" ht="16.5" x14ac:dyDescent="0.3">
      <c r="A6" s="40" t="s">
        <v>9</v>
      </c>
      <c r="B6" s="41"/>
      <c r="C6" s="41"/>
      <c r="D6" s="9"/>
      <c r="E6" s="9"/>
      <c r="F6" s="9"/>
      <c r="G6" s="9"/>
      <c r="H6" s="9"/>
      <c r="I6" s="9"/>
      <c r="J6" s="9"/>
      <c r="K6" s="9"/>
      <c r="L6" s="9"/>
      <c r="M6" s="11"/>
      <c r="P6" t="s">
        <v>106</v>
      </c>
    </row>
    <row r="7" spans="1:25" x14ac:dyDescent="0.3">
      <c r="A7" s="12"/>
      <c r="B7" s="1"/>
      <c r="C7" s="1"/>
      <c r="D7" s="9"/>
      <c r="E7" s="9"/>
      <c r="F7" s="9"/>
      <c r="G7" s="9"/>
      <c r="H7" s="9"/>
      <c r="I7" s="9"/>
      <c r="J7" s="9"/>
      <c r="K7" s="9"/>
      <c r="L7" s="9"/>
      <c r="M7" s="11"/>
      <c r="P7" t="s">
        <v>89</v>
      </c>
    </row>
    <row r="8" spans="1:25" x14ac:dyDescent="0.3">
      <c r="A8" s="12"/>
      <c r="B8" s="1"/>
      <c r="C8" s="1"/>
      <c r="D8" s="1"/>
      <c r="E8" s="1"/>
      <c r="F8" s="1"/>
      <c r="G8" s="1"/>
      <c r="H8" s="1"/>
      <c r="I8" s="1"/>
      <c r="J8" s="1"/>
      <c r="K8" s="1"/>
      <c r="L8" s="1"/>
      <c r="M8" s="11"/>
    </row>
    <row r="9" spans="1:25" ht="16.5" x14ac:dyDescent="0.3">
      <c r="A9" s="13" t="s">
        <v>1</v>
      </c>
      <c r="B9" s="3"/>
      <c r="C9" s="3"/>
      <c r="D9" s="3"/>
      <c r="E9" s="3"/>
      <c r="F9" s="3"/>
      <c r="G9" s="3"/>
      <c r="H9" s="3"/>
      <c r="I9" s="3"/>
      <c r="J9" s="3"/>
      <c r="K9" s="3"/>
      <c r="L9" s="3" t="s">
        <v>31</v>
      </c>
      <c r="M9" s="34"/>
    </row>
    <row r="10" spans="1:25" ht="16.5" x14ac:dyDescent="0.3">
      <c r="A10" s="40" t="s">
        <v>88</v>
      </c>
      <c r="B10" s="41"/>
      <c r="C10" s="41"/>
      <c r="D10" s="9"/>
      <c r="E10" s="9"/>
      <c r="F10" s="9"/>
      <c r="G10" s="9"/>
      <c r="H10" s="9"/>
      <c r="I10" s="9"/>
      <c r="J10" s="9"/>
      <c r="K10" s="299" t="s">
        <v>32</v>
      </c>
      <c r="L10" s="299"/>
      <c r="M10" s="59" t="s">
        <v>34</v>
      </c>
    </row>
    <row r="11" spans="1:25" ht="16.5" customHeight="1" x14ac:dyDescent="0.3">
      <c r="A11" s="40" t="s">
        <v>86</v>
      </c>
      <c r="B11" s="41"/>
      <c r="C11" s="41"/>
      <c r="D11" s="9"/>
      <c r="E11" s="9"/>
      <c r="F11" s="9"/>
      <c r="G11" s="9"/>
      <c r="H11" s="9"/>
      <c r="I11" s="9"/>
      <c r="J11" s="9"/>
      <c r="K11" s="299" t="s">
        <v>42</v>
      </c>
      <c r="L11" s="299"/>
      <c r="M11" s="59" t="s">
        <v>43</v>
      </c>
    </row>
    <row r="12" spans="1:25" ht="16.5" customHeight="1" x14ac:dyDescent="0.3">
      <c r="A12" s="40" t="s">
        <v>87</v>
      </c>
      <c r="B12" s="41"/>
      <c r="C12" s="41"/>
      <c r="D12" s="9"/>
      <c r="E12" s="9"/>
      <c r="F12" s="9"/>
      <c r="G12" s="9"/>
      <c r="H12" s="9"/>
      <c r="I12" s="9"/>
      <c r="J12" s="9"/>
      <c r="K12" s="299" t="s">
        <v>41</v>
      </c>
      <c r="L12" s="299"/>
      <c r="M12" s="61">
        <f xml:space="preserve"> K29</f>
        <v>15740</v>
      </c>
      <c r="W12" t="s">
        <v>80</v>
      </c>
      <c r="Y12" t="s">
        <v>36</v>
      </c>
    </row>
    <row r="13" spans="1:25" ht="16.5" customHeight="1" x14ac:dyDescent="0.3">
      <c r="A13" s="40" t="s">
        <v>85</v>
      </c>
      <c r="B13" s="41"/>
      <c r="C13" s="41"/>
      <c r="D13" s="9"/>
      <c r="E13" s="9"/>
      <c r="F13" s="9"/>
      <c r="G13" s="9"/>
      <c r="H13" s="9"/>
      <c r="I13" s="9"/>
      <c r="J13" s="9"/>
      <c r="K13" s="299" t="s">
        <v>35</v>
      </c>
      <c r="L13" s="299"/>
      <c r="M13" s="60" t="str">
        <f>IF(K29/J29=1.06,"Cartons",IF(K29/J29&gt;=1.12,"Drums","Cartons &amp; Drums"))</f>
        <v>Drums</v>
      </c>
      <c r="O13" s="215" t="s">
        <v>77</v>
      </c>
      <c r="P13" s="215"/>
      <c r="Q13" s="75"/>
      <c r="R13" s="64" t="s">
        <v>78</v>
      </c>
      <c r="S13" s="65" t="s">
        <v>76</v>
      </c>
      <c r="T13" t="s">
        <v>95</v>
      </c>
      <c r="V13" s="51" t="s">
        <v>75</v>
      </c>
      <c r="W13" s="50">
        <v>19800</v>
      </c>
      <c r="Y13" t="s">
        <v>67</v>
      </c>
    </row>
    <row r="14" spans="1:25" ht="16.5" customHeight="1" x14ac:dyDescent="0.3">
      <c r="A14" s="42" t="s">
        <v>84</v>
      </c>
      <c r="B14" s="43"/>
      <c r="C14" s="41"/>
      <c r="D14" s="9"/>
      <c r="E14" s="9"/>
      <c r="F14" s="9"/>
      <c r="G14" s="9"/>
      <c r="H14" s="9"/>
      <c r="I14" s="9"/>
      <c r="J14" s="9"/>
      <c r="K14" s="299" t="s">
        <v>33</v>
      </c>
      <c r="L14" s="299"/>
      <c r="M14" s="60">
        <v>680</v>
      </c>
      <c r="O14" s="215"/>
      <c r="P14" s="215"/>
      <c r="Q14" s="75"/>
      <c r="R14" s="75">
        <v>1</v>
      </c>
      <c r="S14" s="66"/>
      <c r="T14">
        <v>2</v>
      </c>
      <c r="V14" s="51" t="s">
        <v>76</v>
      </c>
      <c r="W14" s="50">
        <v>15000</v>
      </c>
      <c r="Y14" t="s">
        <v>91</v>
      </c>
    </row>
    <row r="15" spans="1:25" ht="12" customHeight="1" x14ac:dyDescent="0.3">
      <c r="A15" s="12"/>
      <c r="B15" s="1"/>
      <c r="C15" s="43"/>
      <c r="D15" s="1"/>
      <c r="E15" s="1"/>
      <c r="F15" s="1"/>
      <c r="G15" s="1"/>
      <c r="H15" s="1"/>
      <c r="I15" s="1"/>
      <c r="J15" s="1"/>
      <c r="K15" s="299"/>
      <c r="L15" s="299"/>
      <c r="M15" s="59"/>
      <c r="Y15" t="s">
        <v>89</v>
      </c>
    </row>
    <row r="16" spans="1:25" ht="48.75" customHeight="1" x14ac:dyDescent="0.3">
      <c r="A16" s="31" t="s">
        <v>17</v>
      </c>
      <c r="B16" s="312" t="s">
        <v>0</v>
      </c>
      <c r="C16" s="312"/>
      <c r="D16" s="312"/>
      <c r="E16" s="312" t="s">
        <v>39</v>
      </c>
      <c r="F16" s="312"/>
      <c r="G16" s="32" t="s">
        <v>18</v>
      </c>
      <c r="H16" s="32" t="s">
        <v>104</v>
      </c>
      <c r="I16" s="32" t="s">
        <v>19</v>
      </c>
      <c r="J16" s="32" t="s">
        <v>20</v>
      </c>
      <c r="K16" s="32" t="s">
        <v>23</v>
      </c>
      <c r="L16" s="32" t="s">
        <v>49</v>
      </c>
      <c r="M16" s="33" t="s">
        <v>50</v>
      </c>
      <c r="O16" s="32" t="s">
        <v>72</v>
      </c>
      <c r="P16" s="32" t="s">
        <v>81</v>
      </c>
      <c r="Q16" s="32" t="s">
        <v>94</v>
      </c>
      <c r="R16" s="32" t="s">
        <v>93</v>
      </c>
      <c r="S16" s="32" t="s">
        <v>73</v>
      </c>
    </row>
    <row r="17" spans="1:22" s="50" customFormat="1" ht="30" customHeight="1" x14ac:dyDescent="0.3">
      <c r="A17" s="67">
        <v>218</v>
      </c>
      <c r="B17" s="290" t="e">
        <f>IF(A17:A28="","",IF(L$4="sys/",VLOOKUP(A17:A28,#REF!,4,FALSE)))</f>
        <v>#REF!</v>
      </c>
      <c r="C17" s="291"/>
      <c r="D17" s="292"/>
      <c r="E17" s="293" t="e">
        <f>IF(A17:A28="","",IF(L$4="sys/",VLOOKUP(A17:A28,#REF!,7,FALSE)))</f>
        <v>#REF!</v>
      </c>
      <c r="F17" s="294"/>
      <c r="G17" s="53" t="e">
        <f>IF(A17:A28="","",IF(L$4="sys/",VLOOKUP(A17:A28,#REF!,9,FALSE)))</f>
        <v>#REF!</v>
      </c>
      <c r="H17" s="53" t="s">
        <v>106</v>
      </c>
      <c r="I17" s="53" t="e">
        <f>IF(A17:A28="","",IF(L$4="sys/",VLOOKUP(A17:A28,#REF!,8,FALSE)))</f>
        <v>#REF!</v>
      </c>
      <c r="J17" s="52">
        <v>2500</v>
      </c>
      <c r="K17" s="52">
        <f>IF(H17="","",IF(H17="carton",(J17*26.5/25),IF(H17="drum",J17*28/25,IF(H17="bale",0))))</f>
        <v>2800</v>
      </c>
      <c r="L17" s="82" t="str">
        <f t="shared" ref="L17:L23" si="0">FIXED(O17-(M$31/J$29),2,1)</f>
        <v>31.66</v>
      </c>
      <c r="M17" s="74">
        <f t="shared" ref="M17:M23" si="1">J17*L17</f>
        <v>79150</v>
      </c>
      <c r="N17" s="49"/>
      <c r="O17" s="70">
        <v>32.369999999999997</v>
      </c>
      <c r="P17" s="48">
        <v>28.5</v>
      </c>
      <c r="Q17" s="73">
        <v>0.03</v>
      </c>
      <c r="R17" s="63">
        <f t="shared" ref="R17:R27" si="2">(O17-P17)/P17+Q17</f>
        <v>0.16578947368421043</v>
      </c>
      <c r="S17" s="50">
        <f t="shared" ref="S17:S27" si="3">O17*J17*R17</f>
        <v>13416.513157894729</v>
      </c>
      <c r="T17" s="50">
        <f t="shared" ref="T17:T23" si="4">O17*J17</f>
        <v>80925</v>
      </c>
    </row>
    <row r="18" spans="1:22" s="50" customFormat="1" ht="30" customHeight="1" x14ac:dyDescent="0.3">
      <c r="A18" s="68">
        <v>216</v>
      </c>
      <c r="B18" s="290" t="e">
        <f>IF(A18:A29="","",IF(L$4="sys/",VLOOKUP(A18:A29,#REF!,4,FALSE)))</f>
        <v>#REF!</v>
      </c>
      <c r="C18" s="291"/>
      <c r="D18" s="292"/>
      <c r="E18" s="293" t="e">
        <f>IF(A18:A29="","",IF(L$4="sys/",VLOOKUP(A18:A29,#REF!,7,FALSE)))</f>
        <v>#REF!</v>
      </c>
      <c r="F18" s="294"/>
      <c r="G18" s="53" t="e">
        <f>IF(A18:A29="","",IF(L$4="sys/",VLOOKUP(A18:A29,#REF!,9,FALSE)))</f>
        <v>#REF!</v>
      </c>
      <c r="H18" s="53" t="s">
        <v>106</v>
      </c>
      <c r="I18" s="53" t="e">
        <f>IF(A18:A29="","",IF(L$4="sys/",VLOOKUP(A18:A29,#REF!,8,FALSE)))</f>
        <v>#REF!</v>
      </c>
      <c r="J18" s="53">
        <v>2000</v>
      </c>
      <c r="K18" s="53">
        <f t="shared" ref="K18:K28" si="5">IF(H18="","",IF(H18="carton",(J18*26.5/25),IF(H18="drum",J18*28/25,IF(H18="bale",0))))</f>
        <v>2240</v>
      </c>
      <c r="L18" s="81" t="str">
        <f t="shared" si="0"/>
        <v>20.63</v>
      </c>
      <c r="M18" s="74">
        <f t="shared" si="1"/>
        <v>41260</v>
      </c>
      <c r="N18" s="49"/>
      <c r="O18" s="70">
        <v>21.34</v>
      </c>
      <c r="P18" s="48">
        <v>24</v>
      </c>
      <c r="Q18" s="73">
        <v>0.03</v>
      </c>
      <c r="R18" s="63">
        <f t="shared" si="2"/>
        <v>-8.083333333333334E-2</v>
      </c>
      <c r="S18" s="50">
        <f t="shared" si="3"/>
        <v>-3449.9666666666672</v>
      </c>
      <c r="T18" s="50">
        <f t="shared" si="4"/>
        <v>42680</v>
      </c>
    </row>
    <row r="19" spans="1:22" s="50" customFormat="1" ht="30" customHeight="1" x14ac:dyDescent="0.3">
      <c r="A19" s="68">
        <v>201</v>
      </c>
      <c r="B19" s="290" t="e">
        <f>IF(A19:A30="","",IF(L$4="sys/",VLOOKUP(A19:A30,#REF!,4,FALSE)))</f>
        <v>#REF!</v>
      </c>
      <c r="C19" s="291"/>
      <c r="D19" s="292"/>
      <c r="E19" s="293" t="e">
        <f>IF(A19:A30="","",IF(L$4="sys/",VLOOKUP(A19:A30,#REF!,7,FALSE)))</f>
        <v>#REF!</v>
      </c>
      <c r="F19" s="294"/>
      <c r="G19" s="53" t="e">
        <f>IF(A19:A30="","",IF(L$4="sys/",VLOOKUP(A19:A30,#REF!,9,FALSE)))</f>
        <v>#REF!</v>
      </c>
      <c r="H19" s="53" t="s">
        <v>106</v>
      </c>
      <c r="I19" s="53" t="e">
        <f>IF(A19:A30="","",IF(L$4="sys/",VLOOKUP(A19:A30,#REF!,8,FALSE)))</f>
        <v>#REF!</v>
      </c>
      <c r="J19" s="53">
        <v>2000</v>
      </c>
      <c r="K19" s="53">
        <f t="shared" si="5"/>
        <v>2240</v>
      </c>
      <c r="L19" s="81" t="str">
        <f t="shared" si="0"/>
        <v>18.87</v>
      </c>
      <c r="M19" s="74">
        <f t="shared" si="1"/>
        <v>37740</v>
      </c>
      <c r="N19" s="49"/>
      <c r="O19" s="70">
        <v>19.579999999999998</v>
      </c>
      <c r="P19" s="48">
        <v>34</v>
      </c>
      <c r="Q19" s="73">
        <v>0.03</v>
      </c>
      <c r="R19" s="63">
        <f t="shared" si="2"/>
        <v>-0.39411764705882357</v>
      </c>
      <c r="S19" s="50">
        <f t="shared" si="3"/>
        <v>-15433.647058823532</v>
      </c>
      <c r="T19" s="50">
        <f t="shared" si="4"/>
        <v>39160</v>
      </c>
      <c r="V19" s="51"/>
    </row>
    <row r="20" spans="1:22" s="50" customFormat="1" ht="30" customHeight="1" x14ac:dyDescent="0.3">
      <c r="A20" s="68">
        <v>203</v>
      </c>
      <c r="B20" s="290" t="e">
        <f>IF(A20:A31="","",IF(L$4="sys/",VLOOKUP(A20:A31,#REF!,4,FALSE)))</f>
        <v>#REF!</v>
      </c>
      <c r="C20" s="291"/>
      <c r="D20" s="292"/>
      <c r="E20" s="293" t="e">
        <f>IF(A20:A31="","",IF(L$4="sys/",VLOOKUP(A20:A31,#REF!,7,FALSE)))</f>
        <v>#REF!</v>
      </c>
      <c r="F20" s="294"/>
      <c r="G20" s="53" t="e">
        <f>IF(A20:A31="","",IF(L$4="sys/",VLOOKUP(A20:A31,#REF!,9,FALSE)))</f>
        <v>#REF!</v>
      </c>
      <c r="H20" s="53" t="s">
        <v>106</v>
      </c>
      <c r="I20" s="53" t="e">
        <f>IF(A20:A31="","",IF(L$4="sys/",VLOOKUP(A20:A31,#REF!,8,FALSE)))</f>
        <v>#REF!</v>
      </c>
      <c r="J20" s="53">
        <v>1000</v>
      </c>
      <c r="K20" s="53">
        <f t="shared" si="5"/>
        <v>1120</v>
      </c>
      <c r="L20" s="81" t="str">
        <f t="shared" si="0"/>
        <v>27.46</v>
      </c>
      <c r="M20" s="74">
        <f t="shared" si="1"/>
        <v>27460</v>
      </c>
      <c r="N20" s="49"/>
      <c r="O20" s="70">
        <v>28.17</v>
      </c>
      <c r="P20" s="48">
        <v>36.5</v>
      </c>
      <c r="Q20" s="73">
        <v>0.03</v>
      </c>
      <c r="R20" s="63">
        <f t="shared" si="2"/>
        <v>-0.19821917808219172</v>
      </c>
      <c r="S20" s="50">
        <f t="shared" si="3"/>
        <v>-5583.8342465753412</v>
      </c>
      <c r="T20" s="50">
        <f t="shared" si="4"/>
        <v>28170</v>
      </c>
    </row>
    <row r="21" spans="1:22" s="50" customFormat="1" ht="30" customHeight="1" x14ac:dyDescent="0.3">
      <c r="A21" s="68">
        <v>206</v>
      </c>
      <c r="B21" s="290" t="e">
        <f>IF(A21:A32="","",IF(L$4="sys/",VLOOKUP(A21:A32,#REF!,4,FALSE)))</f>
        <v>#REF!</v>
      </c>
      <c r="C21" s="291"/>
      <c r="D21" s="292"/>
      <c r="E21" s="293" t="e">
        <f>IF(A21:A32="","",IF(L$4="sys/",VLOOKUP(A21:A32,#REF!,7,FALSE)))</f>
        <v>#REF!</v>
      </c>
      <c r="F21" s="294"/>
      <c r="G21" s="53" t="e">
        <f>IF(A21:A32="","",IF(L$4="sys/",VLOOKUP(A21:A32,#REF!,9,FALSE)))</f>
        <v>#REF!</v>
      </c>
      <c r="H21" s="53" t="s">
        <v>106</v>
      </c>
      <c r="I21" s="53" t="e">
        <f>IF(A21:A32="","",IF(L$4="sys/",VLOOKUP(A21:A32,#REF!,8,FALSE)))</f>
        <v>#REF!</v>
      </c>
      <c r="J21" s="53">
        <v>3500</v>
      </c>
      <c r="K21" s="53">
        <f t="shared" si="5"/>
        <v>3920</v>
      </c>
      <c r="L21" s="81" t="str">
        <f t="shared" si="0"/>
        <v>44.18</v>
      </c>
      <c r="M21" s="74">
        <f t="shared" si="1"/>
        <v>154630</v>
      </c>
      <c r="N21" s="49"/>
      <c r="O21" s="70">
        <v>44.89</v>
      </c>
      <c r="P21" s="48">
        <v>38</v>
      </c>
      <c r="Q21" s="73">
        <v>0.03</v>
      </c>
      <c r="R21" s="63">
        <f t="shared" si="2"/>
        <v>0.21131578947368423</v>
      </c>
      <c r="S21" s="50">
        <f t="shared" si="3"/>
        <v>33200.880263157902</v>
      </c>
      <c r="T21" s="50">
        <f t="shared" si="4"/>
        <v>157115</v>
      </c>
      <c r="V21" s="51"/>
    </row>
    <row r="22" spans="1:22" s="50" customFormat="1" ht="30" customHeight="1" x14ac:dyDescent="0.3">
      <c r="A22" s="68">
        <v>228</v>
      </c>
      <c r="B22" s="290" t="e">
        <f>IF(A22:A33="","",IF(L$4="sys/",VLOOKUP(A22:A33,#REF!,4,FALSE)))</f>
        <v>#REF!</v>
      </c>
      <c r="C22" s="291"/>
      <c r="D22" s="292"/>
      <c r="E22" s="293" t="e">
        <f>IF(A22:A33="","",IF(L$4="sys/",VLOOKUP(A22:A33,#REF!,7,FALSE)))</f>
        <v>#REF!</v>
      </c>
      <c r="F22" s="294"/>
      <c r="G22" s="53" t="e">
        <f>IF(A22:A33="","",IF(L$4="sys/",VLOOKUP(A22:A33,#REF!,9,FALSE)))</f>
        <v>#REF!</v>
      </c>
      <c r="H22" s="53" t="s">
        <v>106</v>
      </c>
      <c r="I22" s="53" t="e">
        <f>IF(A22:A33="","",IF(L$4="sys/",VLOOKUP(A22:A33,#REF!,8,FALSE)))</f>
        <v>#REF!</v>
      </c>
      <c r="J22" s="53">
        <v>1000</v>
      </c>
      <c r="K22" s="53">
        <f t="shared" si="5"/>
        <v>1120</v>
      </c>
      <c r="L22" s="81" t="str">
        <f t="shared" si="0"/>
        <v>52.48</v>
      </c>
      <c r="M22" s="74">
        <f t="shared" si="1"/>
        <v>52480</v>
      </c>
      <c r="N22" s="49"/>
      <c r="O22" s="70">
        <v>53.19</v>
      </c>
      <c r="P22" s="48">
        <v>31.5</v>
      </c>
      <c r="Q22" s="73">
        <v>0.03</v>
      </c>
      <c r="R22" s="63">
        <f t="shared" si="2"/>
        <v>0.71857142857142853</v>
      </c>
      <c r="S22" s="50">
        <f t="shared" si="3"/>
        <v>38220.814285714281</v>
      </c>
      <c r="T22" s="50">
        <f t="shared" si="4"/>
        <v>53190</v>
      </c>
      <c r="V22" s="51">
        <f>M38*5.5%</f>
        <v>27097.4</v>
      </c>
    </row>
    <row r="23" spans="1:22" s="50" customFormat="1" ht="30" customHeight="1" x14ac:dyDescent="0.3">
      <c r="A23" s="68">
        <v>142</v>
      </c>
      <c r="B23" s="290" t="e">
        <f>IF(A23:A34="","",IF(L$4="sys/",VLOOKUP(A23:A34,#REF!,4,FALSE)))</f>
        <v>#REF!</v>
      </c>
      <c r="C23" s="291"/>
      <c r="D23" s="292"/>
      <c r="E23" s="293" t="e">
        <f>IF(A23:A34="","",IF(L$4="sys/",VLOOKUP(A23:A34,#REF!,7,FALSE)))</f>
        <v>#REF!</v>
      </c>
      <c r="F23" s="294"/>
      <c r="G23" s="53" t="e">
        <f>IF(A23:A34="","",IF(L$4="sys/",VLOOKUP(A23:A34,#REF!,9,FALSE)))</f>
        <v>#REF!</v>
      </c>
      <c r="H23" s="53" t="s">
        <v>106</v>
      </c>
      <c r="I23" s="53" t="e">
        <f>IF(A23:A34="","",IF(L$4="sys/",VLOOKUP(A23:A34,#REF!,8,FALSE)))</f>
        <v>#REF!</v>
      </c>
      <c r="J23" s="53">
        <v>2000</v>
      </c>
      <c r="K23" s="53">
        <f>IF(H23="","",IF(H23="carton",(J23*26.5/25),IF(H23="drum",J23*11.5/10,IF(H23="bale",0))))</f>
        <v>2300</v>
      </c>
      <c r="L23" s="81" t="str">
        <f t="shared" si="0"/>
        <v>45.03</v>
      </c>
      <c r="M23" s="74">
        <f t="shared" si="1"/>
        <v>90060</v>
      </c>
      <c r="N23" s="49"/>
      <c r="O23" s="50">
        <v>45.74</v>
      </c>
      <c r="P23" s="50">
        <v>90.5</v>
      </c>
      <c r="Q23" s="73">
        <v>0.03</v>
      </c>
      <c r="R23" s="63">
        <f t="shared" si="2"/>
        <v>-0.46458563535911601</v>
      </c>
      <c r="S23" s="50">
        <f t="shared" si="3"/>
        <v>-42500.29392265193</v>
      </c>
      <c r="T23" s="50">
        <f t="shared" si="4"/>
        <v>91480</v>
      </c>
      <c r="V23" s="51">
        <f>S29-V22</f>
        <v>-9226.9341879505591</v>
      </c>
    </row>
    <row r="24" spans="1:22" s="50" customFormat="1" ht="30" customHeight="1" x14ac:dyDescent="0.3">
      <c r="A24" s="68"/>
      <c r="B24" s="290" t="str">
        <f>IF(A24:A35="","",IF(L$4="sys/",VLOOKUP(A24:A35,#REF!,4,FALSE)))</f>
        <v/>
      </c>
      <c r="C24" s="291"/>
      <c r="D24" s="292"/>
      <c r="E24" s="293" t="str">
        <f>IF(A24:A35="","",IF(L$4="sys/",VLOOKUP(A24:A35,#REF!,7,FALSE)))</f>
        <v/>
      </c>
      <c r="F24" s="294"/>
      <c r="G24" s="53" t="str">
        <f>IF(A24:A35="","",IF(L$4="sys/",VLOOKUP(A24:A35,#REF!,9,FALSE)))</f>
        <v/>
      </c>
      <c r="H24" s="53"/>
      <c r="I24" s="53" t="str">
        <f>IF(A24:A35="","",IF(L$4="sys/",VLOOKUP(A24:A35,#REF!,8,FALSE)))</f>
        <v/>
      </c>
      <c r="J24" s="53"/>
      <c r="K24" s="53" t="str">
        <f t="shared" si="5"/>
        <v/>
      </c>
      <c r="L24" s="81"/>
      <c r="M24" s="74"/>
      <c r="N24" s="49"/>
      <c r="P24" s="50">
        <v>75</v>
      </c>
      <c r="Q24" s="73">
        <v>0.03</v>
      </c>
      <c r="R24" s="63">
        <f t="shared" si="2"/>
        <v>-0.97</v>
      </c>
      <c r="S24" s="50">
        <f t="shared" si="3"/>
        <v>0</v>
      </c>
      <c r="V24" s="51"/>
    </row>
    <row r="25" spans="1:22" s="50" customFormat="1" ht="30" customHeight="1" x14ac:dyDescent="0.3">
      <c r="A25" s="68"/>
      <c r="B25" s="290" t="str">
        <f>IF(A25:A36="","",IF(L$4="sys/",VLOOKUP(A25:A36,#REF!,4,FALSE)))</f>
        <v/>
      </c>
      <c r="C25" s="291"/>
      <c r="D25" s="292"/>
      <c r="E25" s="293" t="str">
        <f>IF(A25:A36="","",IF(L$4="sys/",VLOOKUP(A25:A36,#REF!,7,FALSE)))</f>
        <v/>
      </c>
      <c r="F25" s="294"/>
      <c r="G25" s="53" t="str">
        <f>IF(A25:A36="","",IF(L$4="sys/",VLOOKUP(A25:A36,#REF!,9,FALSE)))</f>
        <v/>
      </c>
      <c r="H25" s="53"/>
      <c r="I25" s="53" t="str">
        <f>IF(A25:A36="","",IF(L$4="sys/",VLOOKUP(A25:A36,#REF!,8,FALSE)))</f>
        <v/>
      </c>
      <c r="J25" s="53"/>
      <c r="K25" s="53" t="str">
        <f t="shared" si="5"/>
        <v/>
      </c>
      <c r="L25" s="81"/>
      <c r="M25" s="74"/>
      <c r="N25" s="49"/>
      <c r="P25" s="50">
        <v>33.200000000000003</v>
      </c>
      <c r="Q25" s="73">
        <v>0.03</v>
      </c>
      <c r="R25" s="63">
        <f t="shared" si="2"/>
        <v>-0.97</v>
      </c>
      <c r="S25" s="50">
        <f t="shared" si="3"/>
        <v>0</v>
      </c>
      <c r="V25" s="51"/>
    </row>
    <row r="26" spans="1:22" s="50" customFormat="1" ht="30" customHeight="1" x14ac:dyDescent="0.3">
      <c r="A26" s="68"/>
      <c r="B26" s="290" t="str">
        <f>IF(A26:A37="","",IF(L$4="sys/",VLOOKUP(A26:A37,#REF!,4,FALSE)))</f>
        <v/>
      </c>
      <c r="C26" s="291"/>
      <c r="D26" s="292"/>
      <c r="E26" s="293" t="str">
        <f>IF(A26:A37="","",IF(L$4="sys/",VLOOKUP(A26:A37,#REF!,7,FALSE)))</f>
        <v/>
      </c>
      <c r="F26" s="294"/>
      <c r="G26" s="53" t="str">
        <f>IF(A26:A37="","",IF(L$4="sys/",VLOOKUP(A26:A37,#REF!,9,FALSE)))</f>
        <v/>
      </c>
      <c r="H26" s="53"/>
      <c r="I26" s="53" t="str">
        <f>IF(A26:A37="","",IF(L$4="sys/",VLOOKUP(A26:A37,#REF!,8,FALSE)))</f>
        <v/>
      </c>
      <c r="J26" s="53"/>
      <c r="K26" s="53" t="str">
        <f t="shared" si="5"/>
        <v/>
      </c>
      <c r="L26" s="81"/>
      <c r="M26" s="74"/>
      <c r="N26" s="49"/>
      <c r="P26" s="50">
        <v>29.5</v>
      </c>
      <c r="Q26" s="73">
        <v>0.03</v>
      </c>
      <c r="R26" s="63">
        <f t="shared" si="2"/>
        <v>-0.97</v>
      </c>
      <c r="S26" s="50">
        <f t="shared" si="3"/>
        <v>0</v>
      </c>
      <c r="V26" s="51"/>
    </row>
    <row r="27" spans="1:22" s="50" customFormat="1" ht="30" customHeight="1" x14ac:dyDescent="0.3">
      <c r="A27" s="68"/>
      <c r="B27" s="290" t="str">
        <f>IF(A27:A38="","",IF(L$4="sys/",VLOOKUP(A27:A38,#REF!,4,FALSE)))</f>
        <v/>
      </c>
      <c r="C27" s="291"/>
      <c r="D27" s="292"/>
      <c r="E27" s="293" t="str">
        <f>IF(A27:A38="","",IF(L$4="sys/",VLOOKUP(A27:A38,#REF!,7,FALSE)))</f>
        <v/>
      </c>
      <c r="F27" s="294"/>
      <c r="G27" s="53" t="str">
        <f>IF(A27:A38="","",IF(L$4="sys/",VLOOKUP(A27:A38,#REF!,9,FALSE)))</f>
        <v/>
      </c>
      <c r="H27" s="53"/>
      <c r="I27" s="53" t="str">
        <f>IF(A27:A38="","",IF(L$4="sys/",VLOOKUP(A27:A38,#REF!,8,FALSE)))</f>
        <v/>
      </c>
      <c r="J27" s="53"/>
      <c r="K27" s="53" t="str">
        <f t="shared" si="5"/>
        <v/>
      </c>
      <c r="L27" s="81"/>
      <c r="M27" s="74"/>
      <c r="N27" s="49"/>
      <c r="P27" s="50">
        <v>50.4</v>
      </c>
      <c r="Q27" s="73">
        <v>0.03</v>
      </c>
      <c r="R27" s="63">
        <f t="shared" si="2"/>
        <v>-0.97</v>
      </c>
      <c r="S27" s="50">
        <f t="shared" si="3"/>
        <v>0</v>
      </c>
      <c r="V27" s="51"/>
    </row>
    <row r="28" spans="1:22" s="50" customFormat="1" ht="30" customHeight="1" x14ac:dyDescent="0.3">
      <c r="A28" s="68"/>
      <c r="B28" s="290" t="str">
        <f>IF(A28:A39="","",IF(L$4="sys/",VLOOKUP(A28:A39,#REF!,4,FALSE)))</f>
        <v/>
      </c>
      <c r="C28" s="291"/>
      <c r="D28" s="292"/>
      <c r="E28" s="293" t="str">
        <f>IF(A28:A39="","",IF(L$4="sys/",VLOOKUP(A28:A39,#REF!,7,FALSE)))</f>
        <v/>
      </c>
      <c r="F28" s="294"/>
      <c r="G28" s="53" t="str">
        <f>IF(A28:A39="","",IF(L$4="sys/",VLOOKUP(A28:A39,#REF!,9,FALSE)))</f>
        <v/>
      </c>
      <c r="H28" s="53"/>
      <c r="I28" s="53" t="str">
        <f>IF(A28:A39="","",IF(L$4="sys/",VLOOKUP(A28:A39,#REF!,8,FALSE)))</f>
        <v/>
      </c>
      <c r="J28" s="53"/>
      <c r="K28" s="53" t="str">
        <f t="shared" si="5"/>
        <v/>
      </c>
      <c r="L28" s="81"/>
      <c r="M28" s="74"/>
      <c r="N28" s="49"/>
      <c r="R28" s="63"/>
      <c r="V28" s="51"/>
    </row>
    <row r="29" spans="1:22" ht="16.5" x14ac:dyDescent="0.3">
      <c r="A29" s="14" t="s">
        <v>5</v>
      </c>
      <c r="B29" s="7"/>
      <c r="C29" s="7"/>
      <c r="D29" s="7"/>
      <c r="E29" s="7"/>
      <c r="F29" s="7"/>
      <c r="G29" s="7"/>
      <c r="H29" s="7"/>
      <c r="I29" s="7"/>
      <c r="J29" s="25">
        <f>SUM(J17:J28)</f>
        <v>14000</v>
      </c>
      <c r="K29" s="25">
        <f>SUM(K17:K28)</f>
        <v>15740</v>
      </c>
      <c r="L29" s="25"/>
      <c r="M29" s="58">
        <f>SUM(M17:M28)</f>
        <v>482780</v>
      </c>
      <c r="O29" s="313" t="s">
        <v>79</v>
      </c>
      <c r="P29" s="313"/>
      <c r="Q29" s="313"/>
      <c r="R29" s="313"/>
      <c r="S29">
        <f>SUM(S17:S28)</f>
        <v>17870.465812049442</v>
      </c>
      <c r="V29" s="47">
        <f>S29/M38</f>
        <v>3.6271953016256887E-2</v>
      </c>
    </row>
    <row r="30" spans="1:22" ht="21" x14ac:dyDescent="0.3">
      <c r="A30" s="286" t="s">
        <v>37</v>
      </c>
      <c r="B30" s="287"/>
      <c r="C30" s="271" t="s">
        <v>40</v>
      </c>
      <c r="D30" s="271"/>
      <c r="E30" s="6"/>
      <c r="F30" s="6"/>
      <c r="G30" s="6"/>
      <c r="H30" s="6"/>
      <c r="I30" s="6"/>
      <c r="J30" s="6"/>
      <c r="K30" s="295" t="s">
        <v>21</v>
      </c>
      <c r="L30" s="296"/>
      <c r="M30" s="57">
        <f>M29</f>
        <v>482780</v>
      </c>
      <c r="R30" s="46"/>
      <c r="V30" s="47"/>
    </row>
    <row r="31" spans="1:22" ht="18.75" x14ac:dyDescent="0.3">
      <c r="A31" s="286" t="s">
        <v>38</v>
      </c>
      <c r="B31" s="287"/>
      <c r="C31" s="271" t="s">
        <v>48</v>
      </c>
      <c r="D31" s="271"/>
      <c r="E31" s="6"/>
      <c r="F31" s="6"/>
      <c r="G31" s="6"/>
      <c r="H31" s="6"/>
      <c r="I31" s="6"/>
      <c r="J31" s="6"/>
      <c r="K31" s="288" t="s">
        <v>22</v>
      </c>
      <c r="L31" s="289"/>
      <c r="M31" s="56">
        <f>(R14*W13+S14*W14)/T14</f>
        <v>9900</v>
      </c>
      <c r="R31" s="47"/>
      <c r="V31" s="47"/>
    </row>
    <row r="32" spans="1:22" ht="16.5" customHeight="1" x14ac:dyDescent="0.3">
      <c r="A32" s="12" t="s">
        <v>46</v>
      </c>
      <c r="B32" s="6"/>
      <c r="C32" s="44" t="s">
        <v>28</v>
      </c>
      <c r="D32" s="6"/>
      <c r="E32" s="6"/>
      <c r="F32" s="6"/>
      <c r="G32" s="6"/>
      <c r="H32" s="6"/>
      <c r="I32" s="6"/>
      <c r="J32" s="6"/>
      <c r="K32" s="276" t="s">
        <v>26</v>
      </c>
      <c r="L32" s="277"/>
      <c r="M32" s="55">
        <v>0</v>
      </c>
      <c r="S32" s="69" t="s">
        <v>82</v>
      </c>
    </row>
    <row r="33" spans="1:19" ht="16.5" customHeight="1" x14ac:dyDescent="0.3">
      <c r="A33" s="15" t="s">
        <v>68</v>
      </c>
      <c r="B33" s="6"/>
      <c r="C33" s="6"/>
      <c r="D33" s="6"/>
      <c r="E33" s="6"/>
      <c r="F33" s="6"/>
      <c r="G33" s="6"/>
      <c r="H33" s="6"/>
      <c r="I33" s="6"/>
      <c r="J33" s="6"/>
      <c r="K33" s="276" t="s">
        <v>27</v>
      </c>
      <c r="L33" s="277"/>
      <c r="M33" s="55">
        <v>0</v>
      </c>
    </row>
    <row r="34" spans="1:19" ht="16.5" customHeight="1" x14ac:dyDescent="0.3">
      <c r="A34" s="16" t="s">
        <v>13</v>
      </c>
      <c r="B34" s="6"/>
      <c r="C34" s="6"/>
      <c r="D34" s="6"/>
      <c r="E34" s="6"/>
      <c r="F34" s="6"/>
      <c r="G34" s="6"/>
      <c r="H34" s="6"/>
      <c r="I34" s="6"/>
      <c r="J34" s="6"/>
      <c r="K34" s="6"/>
      <c r="L34" s="6"/>
      <c r="M34" s="55">
        <v>0</v>
      </c>
    </row>
    <row r="35" spans="1:19" ht="16.5" customHeight="1" x14ac:dyDescent="0.3">
      <c r="A35" s="16" t="s">
        <v>14</v>
      </c>
      <c r="B35" s="6"/>
      <c r="C35" s="6"/>
      <c r="D35" s="6"/>
      <c r="E35" s="6"/>
      <c r="F35" s="6"/>
      <c r="G35" s="6"/>
      <c r="H35" s="6"/>
      <c r="I35" s="6"/>
      <c r="J35" s="6"/>
      <c r="K35" s="6"/>
      <c r="L35" s="6"/>
      <c r="M35" s="55">
        <v>0</v>
      </c>
    </row>
    <row r="36" spans="1:19" ht="16.5" customHeight="1" x14ac:dyDescent="0.3">
      <c r="A36" s="16" t="s">
        <v>15</v>
      </c>
      <c r="B36" s="6"/>
      <c r="C36" s="6"/>
      <c r="D36" s="6"/>
      <c r="E36" s="6"/>
      <c r="F36" s="6"/>
      <c r="G36" s="6"/>
      <c r="H36" s="6"/>
      <c r="I36" s="6"/>
      <c r="J36" s="6"/>
      <c r="K36" s="6"/>
      <c r="L36" s="6"/>
      <c r="M36" s="55">
        <v>0</v>
      </c>
    </row>
    <row r="37" spans="1:19" ht="16.5" customHeight="1" x14ac:dyDescent="0.3">
      <c r="A37" s="16" t="s">
        <v>16</v>
      </c>
      <c r="B37" s="6"/>
      <c r="C37" s="6"/>
      <c r="D37" s="6"/>
      <c r="E37" s="6"/>
      <c r="F37" s="6"/>
      <c r="G37" s="6"/>
      <c r="H37" s="6"/>
      <c r="I37" s="6"/>
      <c r="J37" s="6"/>
      <c r="K37" s="6"/>
      <c r="L37" s="6"/>
      <c r="M37" s="55">
        <v>0</v>
      </c>
    </row>
    <row r="38" spans="1:19" ht="21.75" thickBot="1" x14ac:dyDescent="0.4">
      <c r="A38" s="16" t="s">
        <v>65</v>
      </c>
      <c r="B38" s="1"/>
      <c r="C38" s="1"/>
      <c r="D38" s="1"/>
      <c r="E38" s="1"/>
      <c r="F38" s="1"/>
      <c r="G38" s="1"/>
      <c r="H38" s="1"/>
      <c r="I38" s="1"/>
      <c r="J38" s="1"/>
      <c r="K38" s="278" t="s">
        <v>25</v>
      </c>
      <c r="L38" s="279"/>
      <c r="M38" s="54">
        <f>SUM(M30+M31)</f>
        <v>492680</v>
      </c>
      <c r="O38" s="72">
        <v>426655.25</v>
      </c>
    </row>
    <row r="39" spans="1:19" ht="18.75" thickBot="1" x14ac:dyDescent="0.35">
      <c r="A39" s="280" t="s">
        <v>83</v>
      </c>
      <c r="B39" s="281"/>
      <c r="C39" s="282" t="e">
        <f ca="1">SpellNumber(M38)</f>
        <v>#NAME?</v>
      </c>
      <c r="D39" s="282"/>
      <c r="E39" s="282"/>
      <c r="F39" s="282"/>
      <c r="G39" s="282"/>
      <c r="H39" s="282"/>
      <c r="I39" s="282"/>
      <c r="J39" s="283"/>
      <c r="K39" s="1"/>
      <c r="L39" s="1"/>
      <c r="M39" s="45" t="s">
        <v>51</v>
      </c>
    </row>
    <row r="40" spans="1:19" x14ac:dyDescent="0.3">
      <c r="A40" s="284"/>
      <c r="B40" s="285"/>
      <c r="C40" s="285"/>
      <c r="D40" s="285"/>
      <c r="E40" s="285"/>
      <c r="F40" s="285"/>
      <c r="G40" s="285"/>
      <c r="H40" s="285"/>
      <c r="I40" s="285"/>
      <c r="J40" s="285"/>
      <c r="K40" s="1"/>
      <c r="L40" s="1"/>
      <c r="M40" s="17"/>
    </row>
    <row r="41" spans="1:19" ht="16.5" x14ac:dyDescent="0.3">
      <c r="A41" s="18" t="s">
        <v>8</v>
      </c>
      <c r="B41" s="5"/>
      <c r="C41" s="5"/>
      <c r="D41" s="5"/>
      <c r="E41" s="5"/>
      <c r="F41" s="5"/>
      <c r="G41" s="5"/>
      <c r="H41" s="5"/>
      <c r="I41" s="5"/>
      <c r="J41" s="5"/>
      <c r="K41" s="5"/>
      <c r="L41" s="5"/>
      <c r="M41" s="19"/>
    </row>
    <row r="42" spans="1:19" x14ac:dyDescent="0.3">
      <c r="A42" s="28" t="s">
        <v>4</v>
      </c>
      <c r="B42" s="27"/>
      <c r="C42" s="27" t="s">
        <v>28</v>
      </c>
      <c r="D42" s="27"/>
      <c r="E42" s="27"/>
      <c r="F42" s="27"/>
      <c r="G42" s="1"/>
      <c r="H42" s="1"/>
      <c r="I42" s="1"/>
      <c r="J42" s="1"/>
      <c r="K42" s="1"/>
      <c r="L42" s="1"/>
      <c r="M42" s="17"/>
    </row>
    <row r="43" spans="1:19" x14ac:dyDescent="0.3">
      <c r="A43" s="28" t="s">
        <v>2</v>
      </c>
      <c r="B43" s="27"/>
      <c r="C43" s="27" t="s">
        <v>28</v>
      </c>
      <c r="D43" s="27"/>
      <c r="E43" s="27"/>
      <c r="F43" s="27"/>
      <c r="G43" s="1"/>
      <c r="H43" s="1"/>
      <c r="I43" s="1"/>
      <c r="J43" s="1"/>
      <c r="K43" s="1"/>
      <c r="L43" s="1"/>
      <c r="M43" s="17"/>
      <c r="S43" t="e">
        <f ca="1">SpellNumber(M38)</f>
        <v>#NAME?</v>
      </c>
    </row>
    <row r="44" spans="1:19" x14ac:dyDescent="0.3">
      <c r="A44" s="28" t="s">
        <v>3</v>
      </c>
      <c r="B44" s="27"/>
      <c r="C44" s="27" t="s">
        <v>29</v>
      </c>
      <c r="D44" s="27"/>
      <c r="E44" s="27"/>
      <c r="F44" s="27"/>
      <c r="G44" s="1"/>
      <c r="H44" s="1"/>
      <c r="I44" s="1"/>
      <c r="J44" s="1"/>
      <c r="K44" s="1"/>
      <c r="L44" s="1"/>
      <c r="M44" s="17"/>
    </row>
    <row r="45" spans="1:19" x14ac:dyDescent="0.3">
      <c r="A45" s="28"/>
      <c r="B45" s="27"/>
      <c r="C45" s="27"/>
      <c r="D45" s="27"/>
      <c r="E45" s="27"/>
      <c r="F45" s="27"/>
      <c r="G45" s="1"/>
      <c r="H45" s="1"/>
      <c r="I45" s="1"/>
      <c r="J45" s="1"/>
      <c r="K45" s="1"/>
      <c r="L45" s="1"/>
      <c r="M45" s="17"/>
      <c r="R45" t="e">
        <f ca="1">SpellNumber(M38)</f>
        <v>#NAME?</v>
      </c>
    </row>
    <row r="46" spans="1:19" x14ac:dyDescent="0.3">
      <c r="A46" s="29" t="s">
        <v>6</v>
      </c>
      <c r="B46" s="26"/>
      <c r="C46" s="271" t="s">
        <v>24</v>
      </c>
      <c r="D46" s="271"/>
      <c r="E46" s="271"/>
      <c r="F46" s="271"/>
      <c r="G46" s="2"/>
      <c r="H46" s="2"/>
      <c r="I46" s="2"/>
      <c r="J46" s="2"/>
      <c r="K46" s="2"/>
      <c r="L46" s="2"/>
      <c r="M46" s="17"/>
      <c r="R46" t="e">
        <f ca="1">SpellNumber(M38)</f>
        <v>#NAME?</v>
      </c>
    </row>
    <row r="47" spans="1:19" x14ac:dyDescent="0.3">
      <c r="A47" s="20"/>
      <c r="B47" s="2"/>
      <c r="C47" s="2"/>
      <c r="D47" s="2"/>
      <c r="E47" s="2"/>
      <c r="F47" s="2"/>
      <c r="G47" s="2"/>
      <c r="H47" s="2"/>
      <c r="I47" s="2"/>
      <c r="J47" s="2"/>
      <c r="K47" s="2"/>
      <c r="L47" s="2"/>
      <c r="M47" s="17"/>
      <c r="R47" t="e">
        <f ca="1">SpellNumber(M38)</f>
        <v>#NAME?</v>
      </c>
    </row>
    <row r="48" spans="1:19" ht="15" customHeight="1" x14ac:dyDescent="0.3">
      <c r="A48" s="272" t="s">
        <v>30</v>
      </c>
      <c r="B48" s="273"/>
      <c r="C48" s="273"/>
      <c r="D48" s="273"/>
      <c r="E48" s="273"/>
      <c r="F48" s="273"/>
      <c r="G48" s="273"/>
      <c r="H48" s="78"/>
      <c r="I48" s="2"/>
      <c r="J48" s="2"/>
      <c r="K48" s="2"/>
      <c r="L48" s="2"/>
      <c r="M48" s="17"/>
    </row>
    <row r="49" spans="1:13" x14ac:dyDescent="0.3">
      <c r="A49" s="272"/>
      <c r="B49" s="273"/>
      <c r="C49" s="273"/>
      <c r="D49" s="273"/>
      <c r="E49" s="273"/>
      <c r="F49" s="273"/>
      <c r="G49" s="273"/>
      <c r="H49" s="78"/>
      <c r="I49" s="2"/>
      <c r="J49" s="2"/>
      <c r="K49" s="2"/>
      <c r="L49" s="2"/>
      <c r="M49" s="17"/>
    </row>
    <row r="50" spans="1:13" x14ac:dyDescent="0.3">
      <c r="A50" s="272"/>
      <c r="B50" s="273"/>
      <c r="C50" s="273"/>
      <c r="D50" s="273"/>
      <c r="E50" s="273"/>
      <c r="F50" s="273"/>
      <c r="G50" s="273"/>
      <c r="H50" s="78"/>
      <c r="I50" s="2"/>
      <c r="J50" s="2"/>
      <c r="K50" s="2"/>
      <c r="L50" s="2"/>
      <c r="M50" s="17"/>
    </row>
    <row r="51" spans="1:13" x14ac:dyDescent="0.3">
      <c r="A51" s="21" t="s">
        <v>92</v>
      </c>
      <c r="B51" s="4"/>
      <c r="C51" s="2"/>
      <c r="D51" s="2"/>
      <c r="E51" s="2"/>
      <c r="F51" s="2"/>
      <c r="G51" s="2"/>
      <c r="H51" s="2"/>
      <c r="I51" s="2"/>
      <c r="J51" s="2"/>
      <c r="K51" s="2"/>
      <c r="L51" s="2"/>
      <c r="M51" s="17"/>
    </row>
    <row r="52" spans="1:13" ht="15.75" thickBot="1" x14ac:dyDescent="0.35">
      <c r="A52" s="274" t="s">
        <v>66</v>
      </c>
      <c r="B52" s="275"/>
      <c r="C52" s="275"/>
      <c r="D52" s="275"/>
      <c r="E52" s="24"/>
      <c r="F52" s="22"/>
      <c r="G52" s="22"/>
      <c r="H52" s="22"/>
      <c r="I52" s="22"/>
      <c r="J52" s="22"/>
      <c r="K52" s="22"/>
      <c r="L52" s="22"/>
      <c r="M52" s="23"/>
    </row>
  </sheetData>
  <mergeCells count="54">
    <mergeCell ref="K10:L10"/>
    <mergeCell ref="K11:L11"/>
    <mergeCell ref="K12:L12"/>
    <mergeCell ref="K13:L13"/>
    <mergeCell ref="B1:F1"/>
    <mergeCell ref="L2:M2"/>
    <mergeCell ref="L3:M3"/>
    <mergeCell ref="J5:K5"/>
    <mergeCell ref="L5:M5"/>
    <mergeCell ref="O13:P14"/>
    <mergeCell ref="K14:L14"/>
    <mergeCell ref="B16:D16"/>
    <mergeCell ref="E16:F16"/>
    <mergeCell ref="B17:D17"/>
    <mergeCell ref="E17:F17"/>
    <mergeCell ref="K15:L15"/>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O29:R29"/>
    <mergeCell ref="A30:B30"/>
    <mergeCell ref="C30:D30"/>
    <mergeCell ref="K30:L30"/>
    <mergeCell ref="A52:D52"/>
    <mergeCell ref="A31:B31"/>
    <mergeCell ref="C31:D31"/>
    <mergeCell ref="K31:L31"/>
    <mergeCell ref="K32:L32"/>
    <mergeCell ref="K33:L33"/>
    <mergeCell ref="K38:L38"/>
    <mergeCell ref="A39:B39"/>
    <mergeCell ref="C39:J39"/>
    <mergeCell ref="A40:J40"/>
    <mergeCell ref="C46:F46"/>
    <mergeCell ref="A48:G50"/>
  </mergeCells>
  <dataValidations disablePrompts="1" count="1">
    <dataValidation type="list" allowBlank="1" showInputMessage="1" showErrorMessage="1" sqref="H17:H28" xr:uid="{00000000-0002-0000-1700-000000000000}">
      <formula1>$P$5:$P$7</formula1>
    </dataValidation>
  </dataValidations>
  <printOptions horizontalCentered="1"/>
  <pageMargins left="0.51181102362204722" right="0.51181102362204722" top="0.51181102362204722" bottom="0.51181102362204722" header="0.51181102362204722" footer="0.23622047244094491"/>
  <pageSetup scale="65" fitToHeight="0" orientation="portrait"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Y52"/>
  <sheetViews>
    <sheetView showGridLines="0" topLeftCell="A19" zoomScale="85" zoomScaleNormal="85" workbookViewId="0">
      <selection activeCell="O17" activeCellId="1" sqref="J17:J18 O17:O18"/>
    </sheetView>
  </sheetViews>
  <sheetFormatPr defaultRowHeight="15" x14ac:dyDescent="0.3"/>
  <cols>
    <col min="1" max="3" width="11.42578125" customWidth="1"/>
    <col min="4" max="4" width="13.5703125" customWidth="1"/>
    <col min="5" max="5" width="11.42578125" customWidth="1"/>
    <col min="6" max="6" width="17" customWidth="1"/>
    <col min="7" max="7" width="8.140625" bestFit="1" customWidth="1"/>
    <col min="8" max="8" width="7.42578125" bestFit="1" customWidth="1"/>
    <col min="9" max="12" width="11.42578125" customWidth="1"/>
    <col min="13" max="13" width="16.85546875" customWidth="1"/>
    <col min="14" max="14" width="10.85546875" bestFit="1" customWidth="1"/>
    <col min="15" max="15" width="9.85546875" bestFit="1" customWidth="1"/>
    <col min="18" max="18" width="11.85546875" bestFit="1" customWidth="1"/>
    <col min="22" max="22" width="13.7109375" bestFit="1" customWidth="1"/>
  </cols>
  <sheetData>
    <row r="1" spans="1:25" ht="78" customHeight="1" x14ac:dyDescent="0.45">
      <c r="A1" s="8"/>
      <c r="B1" s="306" t="s">
        <v>74</v>
      </c>
      <c r="C1" s="306"/>
      <c r="D1" s="306"/>
      <c r="E1" s="306"/>
      <c r="F1" s="306"/>
      <c r="G1" s="80"/>
      <c r="H1" s="80"/>
      <c r="I1" s="80"/>
      <c r="J1" s="80"/>
      <c r="K1" s="80"/>
      <c r="L1" s="80"/>
      <c r="M1" s="30" t="s">
        <v>7</v>
      </c>
    </row>
    <row r="2" spans="1:25" ht="16.5" x14ac:dyDescent="0.3">
      <c r="A2" s="38" t="s">
        <v>69</v>
      </c>
      <c r="B2" s="39"/>
      <c r="C2" s="39"/>
      <c r="D2" s="9"/>
      <c r="E2" s="9"/>
      <c r="F2" s="9"/>
      <c r="G2" s="9"/>
      <c r="H2" s="9"/>
      <c r="I2" s="9"/>
      <c r="J2" s="35"/>
      <c r="K2" s="36" t="s">
        <v>45</v>
      </c>
      <c r="L2" s="307" t="s">
        <v>97</v>
      </c>
      <c r="M2" s="308"/>
    </row>
    <row r="3" spans="1:25" ht="16.5" x14ac:dyDescent="0.3">
      <c r="A3" s="40" t="s">
        <v>11</v>
      </c>
      <c r="B3" s="41"/>
      <c r="C3" s="41"/>
      <c r="D3" s="10"/>
      <c r="E3" s="10"/>
      <c r="F3" s="10"/>
      <c r="G3" s="10"/>
      <c r="H3" s="10"/>
      <c r="I3" s="10"/>
      <c r="J3" s="37"/>
      <c r="K3" s="36" t="s">
        <v>44</v>
      </c>
      <c r="L3" s="307" t="s">
        <v>96</v>
      </c>
      <c r="M3" s="308"/>
    </row>
    <row r="4" spans="1:25" ht="15" customHeight="1" x14ac:dyDescent="0.3">
      <c r="A4" s="40" t="s">
        <v>12</v>
      </c>
      <c r="B4" s="41"/>
      <c r="C4" s="41"/>
      <c r="D4" s="9"/>
      <c r="E4" s="9"/>
      <c r="F4" s="9"/>
      <c r="G4" s="9"/>
      <c r="H4" s="9"/>
      <c r="I4" s="9"/>
      <c r="J4" s="35"/>
      <c r="K4" s="36" t="s">
        <v>47</v>
      </c>
      <c r="L4" s="79" t="s">
        <v>98</v>
      </c>
      <c r="M4" s="77" t="s">
        <v>102</v>
      </c>
    </row>
    <row r="5" spans="1:25" ht="16.5" x14ac:dyDescent="0.3">
      <c r="A5" s="40" t="s">
        <v>10</v>
      </c>
      <c r="B5" s="41"/>
      <c r="C5" s="41"/>
      <c r="D5" s="9"/>
      <c r="E5" s="9"/>
      <c r="F5" s="9"/>
      <c r="G5" s="9"/>
      <c r="H5" s="9"/>
      <c r="I5" s="9"/>
      <c r="J5" s="309"/>
      <c r="K5" s="309"/>
      <c r="L5" s="310"/>
      <c r="M5" s="311"/>
      <c r="P5" t="s">
        <v>105</v>
      </c>
    </row>
    <row r="6" spans="1:25" ht="16.5" x14ac:dyDescent="0.3">
      <c r="A6" s="40" t="s">
        <v>9</v>
      </c>
      <c r="B6" s="41"/>
      <c r="C6" s="41"/>
      <c r="D6" s="9"/>
      <c r="E6" s="9"/>
      <c r="F6" s="9"/>
      <c r="G6" s="9"/>
      <c r="H6" s="9"/>
      <c r="I6" s="9"/>
      <c r="J6" s="9"/>
      <c r="K6" s="9"/>
      <c r="L6" s="9"/>
      <c r="M6" s="11"/>
      <c r="P6" t="s">
        <v>106</v>
      </c>
    </row>
    <row r="7" spans="1:25" x14ac:dyDescent="0.3">
      <c r="A7" s="12"/>
      <c r="B7" s="1"/>
      <c r="C7" s="1"/>
      <c r="D7" s="9"/>
      <c r="E7" s="9"/>
      <c r="F7" s="9"/>
      <c r="G7" s="9"/>
      <c r="H7" s="9"/>
      <c r="I7" s="9"/>
      <c r="J7" s="9"/>
      <c r="K7" s="9"/>
      <c r="L7" s="9"/>
      <c r="M7" s="11"/>
      <c r="P7" t="s">
        <v>89</v>
      </c>
    </row>
    <row r="8" spans="1:25" x14ac:dyDescent="0.3">
      <c r="A8" s="12"/>
      <c r="B8" s="1"/>
      <c r="C8" s="1"/>
      <c r="D8" s="1"/>
      <c r="E8" s="1"/>
      <c r="F8" s="1"/>
      <c r="G8" s="1"/>
      <c r="H8" s="1"/>
      <c r="I8" s="1"/>
      <c r="J8" s="1"/>
      <c r="K8" s="1"/>
      <c r="L8" s="1"/>
      <c r="M8" s="11"/>
    </row>
    <row r="9" spans="1:25" ht="16.5" x14ac:dyDescent="0.3">
      <c r="A9" s="13" t="s">
        <v>1</v>
      </c>
      <c r="B9" s="3"/>
      <c r="C9" s="3"/>
      <c r="D9" s="3"/>
      <c r="E9" s="3"/>
      <c r="F9" s="3"/>
      <c r="G9" s="3"/>
      <c r="H9" s="3"/>
      <c r="I9" s="3"/>
      <c r="J9" s="3"/>
      <c r="K9" s="3"/>
      <c r="L9" s="3" t="s">
        <v>31</v>
      </c>
      <c r="M9" s="34"/>
    </row>
    <row r="10" spans="1:25" ht="16.5" x14ac:dyDescent="0.3">
      <c r="A10" s="40" t="s">
        <v>88</v>
      </c>
      <c r="B10" s="41"/>
      <c r="C10" s="41"/>
      <c r="D10" s="9"/>
      <c r="E10" s="9"/>
      <c r="F10" s="9"/>
      <c r="G10" s="9"/>
      <c r="H10" s="9"/>
      <c r="I10" s="9"/>
      <c r="J10" s="9"/>
      <c r="K10" s="299" t="s">
        <v>32</v>
      </c>
      <c r="L10" s="299"/>
      <c r="M10" s="59" t="s">
        <v>34</v>
      </c>
    </row>
    <row r="11" spans="1:25" ht="16.5" customHeight="1" x14ac:dyDescent="0.3">
      <c r="A11" s="40" t="s">
        <v>86</v>
      </c>
      <c r="B11" s="41"/>
      <c r="C11" s="41"/>
      <c r="D11" s="9"/>
      <c r="E11" s="9"/>
      <c r="F11" s="9"/>
      <c r="G11" s="9"/>
      <c r="H11" s="9"/>
      <c r="I11" s="9"/>
      <c r="J11" s="9"/>
      <c r="K11" s="299" t="s">
        <v>42</v>
      </c>
      <c r="L11" s="299"/>
      <c r="M11" s="59" t="s">
        <v>43</v>
      </c>
    </row>
    <row r="12" spans="1:25" ht="16.5" customHeight="1" x14ac:dyDescent="0.3">
      <c r="A12" s="40" t="s">
        <v>87</v>
      </c>
      <c r="B12" s="41"/>
      <c r="C12" s="41"/>
      <c r="D12" s="9"/>
      <c r="E12" s="9"/>
      <c r="F12" s="9"/>
      <c r="G12" s="9"/>
      <c r="H12" s="9"/>
      <c r="I12" s="9"/>
      <c r="J12" s="9"/>
      <c r="K12" s="299" t="s">
        <v>41</v>
      </c>
      <c r="L12" s="299"/>
      <c r="M12" s="61">
        <f xml:space="preserve"> K29</f>
        <v>19040</v>
      </c>
      <c r="W12" t="s">
        <v>80</v>
      </c>
      <c r="Y12" t="s">
        <v>36</v>
      </c>
    </row>
    <row r="13" spans="1:25" ht="16.5" customHeight="1" x14ac:dyDescent="0.3">
      <c r="A13" s="40" t="s">
        <v>85</v>
      </c>
      <c r="B13" s="41"/>
      <c r="C13" s="41"/>
      <c r="D13" s="9"/>
      <c r="E13" s="9"/>
      <c r="F13" s="9"/>
      <c r="G13" s="9"/>
      <c r="H13" s="9"/>
      <c r="I13" s="9"/>
      <c r="J13" s="9"/>
      <c r="K13" s="299" t="s">
        <v>35</v>
      </c>
      <c r="L13" s="299"/>
      <c r="M13" s="60" t="str">
        <f>IF(K29/J29=1.06,"Cartons",IF(K29/J29&gt;=1.12,"Drums","Cartons &amp; Drums"))</f>
        <v>Drums</v>
      </c>
      <c r="O13" s="215" t="s">
        <v>77</v>
      </c>
      <c r="P13" s="215"/>
      <c r="Q13" s="75"/>
      <c r="R13" s="64" t="s">
        <v>78</v>
      </c>
      <c r="S13" s="65" t="s">
        <v>76</v>
      </c>
      <c r="T13" t="s">
        <v>95</v>
      </c>
      <c r="V13" s="51" t="s">
        <v>75</v>
      </c>
      <c r="W13" s="50">
        <v>19800</v>
      </c>
      <c r="Y13" t="s">
        <v>67</v>
      </c>
    </row>
    <row r="14" spans="1:25" ht="16.5" customHeight="1" x14ac:dyDescent="0.3">
      <c r="A14" s="42" t="s">
        <v>84</v>
      </c>
      <c r="B14" s="43"/>
      <c r="C14" s="41"/>
      <c r="D14" s="9"/>
      <c r="E14" s="9"/>
      <c r="F14" s="9"/>
      <c r="G14" s="9"/>
      <c r="H14" s="9"/>
      <c r="I14" s="9"/>
      <c r="J14" s="9"/>
      <c r="K14" s="299" t="s">
        <v>33</v>
      </c>
      <c r="L14" s="299"/>
      <c r="M14" s="60">
        <f>J29/25</f>
        <v>680</v>
      </c>
      <c r="O14" s="215"/>
      <c r="P14" s="215"/>
      <c r="Q14" s="75"/>
      <c r="R14" s="75"/>
      <c r="S14" s="66">
        <v>1</v>
      </c>
      <c r="T14">
        <v>1</v>
      </c>
      <c r="V14" s="51" t="s">
        <v>76</v>
      </c>
      <c r="W14" s="50">
        <v>15000</v>
      </c>
      <c r="Y14" t="s">
        <v>91</v>
      </c>
    </row>
    <row r="15" spans="1:25" ht="12" customHeight="1" x14ac:dyDescent="0.3">
      <c r="A15" s="12"/>
      <c r="B15" s="1"/>
      <c r="C15" s="43"/>
      <c r="D15" s="1"/>
      <c r="E15" s="1"/>
      <c r="F15" s="1"/>
      <c r="G15" s="1"/>
      <c r="H15" s="1"/>
      <c r="I15" s="1"/>
      <c r="J15" s="1"/>
      <c r="K15" s="299"/>
      <c r="L15" s="299"/>
      <c r="M15" s="59"/>
      <c r="Y15" t="s">
        <v>89</v>
      </c>
    </row>
    <row r="16" spans="1:25" ht="48.75" customHeight="1" x14ac:dyDescent="0.3">
      <c r="A16" s="31" t="s">
        <v>17</v>
      </c>
      <c r="B16" s="312" t="s">
        <v>0</v>
      </c>
      <c r="C16" s="312"/>
      <c r="D16" s="312"/>
      <c r="E16" s="312" t="s">
        <v>39</v>
      </c>
      <c r="F16" s="312"/>
      <c r="G16" s="32" t="s">
        <v>18</v>
      </c>
      <c r="H16" s="32" t="s">
        <v>104</v>
      </c>
      <c r="I16" s="32" t="s">
        <v>19</v>
      </c>
      <c r="J16" s="32" t="s">
        <v>20</v>
      </c>
      <c r="K16" s="32" t="s">
        <v>23</v>
      </c>
      <c r="L16" s="32" t="s">
        <v>49</v>
      </c>
      <c r="M16" s="33" t="s">
        <v>50</v>
      </c>
      <c r="O16" s="32" t="s">
        <v>72</v>
      </c>
      <c r="P16" s="32" t="s">
        <v>81</v>
      </c>
      <c r="Q16" s="32" t="s">
        <v>94</v>
      </c>
      <c r="R16" s="32" t="s">
        <v>93</v>
      </c>
      <c r="S16" s="32" t="s">
        <v>73</v>
      </c>
    </row>
    <row r="17" spans="1:22" s="50" customFormat="1" ht="30" customHeight="1" x14ac:dyDescent="0.3">
      <c r="A17" s="67">
        <v>4092</v>
      </c>
      <c r="B17" s="290" t="e">
        <f>IF(A17:A28="","",IF(L$4="sys/",VLOOKUP(A17:A28,#REF!,4,FALSE)))</f>
        <v>#REF!</v>
      </c>
      <c r="C17" s="291"/>
      <c r="D17" s="292"/>
      <c r="E17" s="293" t="e">
        <f>IF(A17:A28="","",IF(L$4="sys/",VLOOKUP(A17:A28,#REF!,7,FALSE)))</f>
        <v>#REF!</v>
      </c>
      <c r="F17" s="294"/>
      <c r="G17" s="53" t="e">
        <f>IF(A17:A28="","",IF(L$4="sys/",VLOOKUP(A17:A28,#REF!,9,FALSE)))</f>
        <v>#REF!</v>
      </c>
      <c r="H17" s="53" t="s">
        <v>106</v>
      </c>
      <c r="I17" s="53" t="e">
        <f>IF(A17:A28="","",IF(L$4="sys/",VLOOKUP(A17:A28,#REF!,8,FALSE)))</f>
        <v>#REF!</v>
      </c>
      <c r="J17" s="52">
        <v>15000</v>
      </c>
      <c r="K17" s="52">
        <f>IF(H17="","",IF(H17="carton",(J17*26.5/25),IF(H17="drum",J17*28/25,IF(H17="bale",0))))</f>
        <v>16800</v>
      </c>
      <c r="L17" s="82" t="str">
        <f>FIXED(O17-(M$31/J$29),2,1)</f>
        <v>26.24</v>
      </c>
      <c r="M17" s="74">
        <f t="shared" ref="M17:M22" si="0">J17*L17</f>
        <v>393600</v>
      </c>
      <c r="N17" s="49"/>
      <c r="O17" s="70">
        <v>27.12</v>
      </c>
      <c r="P17" s="48">
        <v>28.5</v>
      </c>
      <c r="Q17" s="73">
        <v>0.03</v>
      </c>
      <c r="R17" s="63">
        <f t="shared" ref="R17:R27" si="1">(O17-P17)/P17+Q17</f>
        <v>-1.8421052631578914E-2</v>
      </c>
      <c r="S17" s="50">
        <f t="shared" ref="S17:S27" si="2">O17*J17*R17</f>
        <v>-7493.6842105263022</v>
      </c>
      <c r="T17" s="50">
        <f t="shared" ref="T17:T22" si="3">O17*J17</f>
        <v>406800</v>
      </c>
    </row>
    <row r="18" spans="1:22" s="50" customFormat="1" ht="30" customHeight="1" x14ac:dyDescent="0.3">
      <c r="A18" s="68">
        <v>102</v>
      </c>
      <c r="B18" s="290" t="e">
        <f>IF(A18:A29="","",IF(L$4="sys/",VLOOKUP(A18:A29,#REF!,4,FALSE)))</f>
        <v>#REF!</v>
      </c>
      <c r="C18" s="291"/>
      <c r="D18" s="292"/>
      <c r="E18" s="293" t="e">
        <f>IF(A18:A29="","",IF(L$4="sys/",VLOOKUP(A18:A29,#REF!,7,FALSE)))</f>
        <v>#REF!</v>
      </c>
      <c r="F18" s="294"/>
      <c r="G18" s="53" t="e">
        <f>IF(A18:A29="","",IF(L$4="sys/",VLOOKUP(A18:A29,#REF!,9,FALSE)))</f>
        <v>#REF!</v>
      </c>
      <c r="H18" s="53" t="s">
        <v>106</v>
      </c>
      <c r="I18" s="53" t="e">
        <f>IF(A18:A29="","",IF(L$4="sys/",VLOOKUP(A18:A29,#REF!,8,FALSE)))</f>
        <v>#REF!</v>
      </c>
      <c r="J18" s="53">
        <v>2000</v>
      </c>
      <c r="K18" s="53">
        <f>IF(H18="","",IF(H18="carton",(J18*26.5/25),IF(H18="drum",J18*28/25,IF(H18="bale",0))))</f>
        <v>2240</v>
      </c>
      <c r="L18" s="81" t="str">
        <f>FIXED(O18-(M$31/J$29),2,1)</f>
        <v>26.05</v>
      </c>
      <c r="M18" s="74">
        <f t="shared" si="0"/>
        <v>52100</v>
      </c>
      <c r="N18" s="49"/>
      <c r="O18" s="70">
        <v>26.93</v>
      </c>
      <c r="P18" s="48">
        <v>24</v>
      </c>
      <c r="Q18" s="73">
        <v>0.03</v>
      </c>
      <c r="R18" s="63">
        <f t="shared" si="1"/>
        <v>0.15208333333333332</v>
      </c>
      <c r="S18" s="50">
        <f t="shared" si="2"/>
        <v>8191.208333333333</v>
      </c>
      <c r="T18" s="50">
        <f t="shared" si="3"/>
        <v>53860</v>
      </c>
    </row>
    <row r="19" spans="1:22" s="50" customFormat="1" ht="30" customHeight="1" x14ac:dyDescent="0.3">
      <c r="A19" s="68"/>
      <c r="B19" s="290" t="str">
        <f>IF(A19:A30="","",VLOOKUP(A19:A30,#REF!,4,FALSE))</f>
        <v/>
      </c>
      <c r="C19" s="291"/>
      <c r="D19" s="292"/>
      <c r="E19" s="293" t="str">
        <f>IF(A19:A30="","",VLOOKUP(A19:A30,#REF!,7,FALSE))</f>
        <v/>
      </c>
      <c r="F19" s="294"/>
      <c r="G19" s="53" t="str">
        <f>IF(A19="","",VLOOKUP(A19:A30,#REF!,9,FALSE))</f>
        <v/>
      </c>
      <c r="H19" s="53"/>
      <c r="I19" s="53" t="str">
        <f>IF(A19="","",VLOOKUP(A19:A30,#REF!,8,FALSE))</f>
        <v/>
      </c>
      <c r="J19" s="53"/>
      <c r="K19" s="53"/>
      <c r="L19" s="81"/>
      <c r="M19" s="74">
        <f t="shared" si="0"/>
        <v>0</v>
      </c>
      <c r="N19" s="49"/>
      <c r="O19" s="70"/>
      <c r="P19" s="48">
        <v>34</v>
      </c>
      <c r="Q19" s="73">
        <v>0.03</v>
      </c>
      <c r="R19" s="63">
        <f t="shared" si="1"/>
        <v>-0.97</v>
      </c>
      <c r="S19" s="50">
        <f t="shared" si="2"/>
        <v>0</v>
      </c>
      <c r="T19" s="50">
        <f t="shared" si="3"/>
        <v>0</v>
      </c>
      <c r="V19" s="51"/>
    </row>
    <row r="20" spans="1:22" s="50" customFormat="1" ht="30" customHeight="1" x14ac:dyDescent="0.3">
      <c r="A20" s="68"/>
      <c r="B20" s="290" t="str">
        <f>IF(A20:A31="","",VLOOKUP(A20:A31,#REF!,4,FALSE))</f>
        <v/>
      </c>
      <c r="C20" s="291"/>
      <c r="D20" s="292"/>
      <c r="E20" s="293" t="str">
        <f>IF(A20:A31="","",VLOOKUP(A20:A31,#REF!,7,FALSE))</f>
        <v/>
      </c>
      <c r="F20" s="294"/>
      <c r="G20" s="53" t="str">
        <f>IF(A20="","",VLOOKUP(A20:A31,#REF!,9,FALSE))</f>
        <v/>
      </c>
      <c r="H20" s="53"/>
      <c r="I20" s="53" t="str">
        <f>IF(A20="","",VLOOKUP(A20:A31,#REF!,8,FALSE))</f>
        <v/>
      </c>
      <c r="J20" s="53"/>
      <c r="K20" s="53"/>
      <c r="L20" s="81"/>
      <c r="M20" s="74">
        <f t="shared" si="0"/>
        <v>0</v>
      </c>
      <c r="N20" s="49"/>
      <c r="O20" s="70"/>
      <c r="P20" s="48">
        <v>36.5</v>
      </c>
      <c r="Q20" s="73">
        <v>0.03</v>
      </c>
      <c r="R20" s="63">
        <f t="shared" si="1"/>
        <v>-0.97</v>
      </c>
      <c r="S20" s="50">
        <f t="shared" si="2"/>
        <v>0</v>
      </c>
      <c r="T20" s="50">
        <f t="shared" si="3"/>
        <v>0</v>
      </c>
    </row>
    <row r="21" spans="1:22" s="50" customFormat="1" ht="30" customHeight="1" x14ac:dyDescent="0.3">
      <c r="A21" s="68"/>
      <c r="B21" s="290" t="str">
        <f>IF(A21:A32="","",VLOOKUP(A21:A32,#REF!,4,FALSE))</f>
        <v/>
      </c>
      <c r="C21" s="291"/>
      <c r="D21" s="292"/>
      <c r="E21" s="293" t="str">
        <f>IF(A21:A32="","",VLOOKUP(A21:A32,#REF!,7,FALSE))</f>
        <v/>
      </c>
      <c r="F21" s="294"/>
      <c r="G21" s="53" t="str">
        <f>IF(A21="","",VLOOKUP(A21:A32,#REF!,9,FALSE))</f>
        <v/>
      </c>
      <c r="H21" s="53"/>
      <c r="I21" s="53" t="str">
        <f>IF(A21="","",VLOOKUP(A21:A32,#REF!,8,FALSE))</f>
        <v/>
      </c>
      <c r="J21" s="53"/>
      <c r="K21" s="53"/>
      <c r="L21" s="81"/>
      <c r="M21" s="74">
        <f t="shared" si="0"/>
        <v>0</v>
      </c>
      <c r="N21" s="49"/>
      <c r="O21" s="70"/>
      <c r="P21" s="48">
        <v>38</v>
      </c>
      <c r="Q21" s="73">
        <v>0.03</v>
      </c>
      <c r="R21" s="63">
        <f t="shared" si="1"/>
        <v>-0.97</v>
      </c>
      <c r="S21" s="50">
        <f t="shared" si="2"/>
        <v>0</v>
      </c>
      <c r="T21" s="50">
        <f t="shared" si="3"/>
        <v>0</v>
      </c>
      <c r="V21" s="51"/>
    </row>
    <row r="22" spans="1:22" s="50" customFormat="1" ht="30" customHeight="1" x14ac:dyDescent="0.3">
      <c r="A22" s="68"/>
      <c r="B22" s="290" t="str">
        <f>IF(A22:A33="","",VLOOKUP(A22:A33,#REF!,4,FALSE))</f>
        <v/>
      </c>
      <c r="C22" s="291"/>
      <c r="D22" s="292"/>
      <c r="E22" s="293" t="str">
        <f>IF(A22:A33="","",VLOOKUP(A22:A33,#REF!,7,FALSE))</f>
        <v/>
      </c>
      <c r="F22" s="294"/>
      <c r="G22" s="53" t="str">
        <f>IF(A22="","",VLOOKUP(A22:A33,#REF!,9,FALSE))</f>
        <v/>
      </c>
      <c r="H22" s="53"/>
      <c r="I22" s="53" t="str">
        <f>IF(A22="","",VLOOKUP(A22:A33,#REF!,8,FALSE))</f>
        <v/>
      </c>
      <c r="J22" s="53"/>
      <c r="K22" s="53"/>
      <c r="L22" s="81"/>
      <c r="M22" s="74">
        <f t="shared" si="0"/>
        <v>0</v>
      </c>
      <c r="N22" s="49"/>
      <c r="O22" s="70"/>
      <c r="P22" s="48">
        <v>31.5</v>
      </c>
      <c r="Q22" s="73">
        <v>0.03</v>
      </c>
      <c r="R22" s="63">
        <f t="shared" si="1"/>
        <v>-0.97</v>
      </c>
      <c r="S22" s="50">
        <f t="shared" si="2"/>
        <v>0</v>
      </c>
      <c r="T22" s="50">
        <f t="shared" si="3"/>
        <v>0</v>
      </c>
      <c r="V22" s="51">
        <f>M38*5.5%</f>
        <v>25338.5</v>
      </c>
    </row>
    <row r="23" spans="1:22" s="50" customFormat="1" ht="30" customHeight="1" x14ac:dyDescent="0.3">
      <c r="A23" s="68"/>
      <c r="B23" s="290" t="str">
        <f>IF(A23:A34="","",VLOOKUP(A23:A34,#REF!,4,FALSE))</f>
        <v/>
      </c>
      <c r="C23" s="291"/>
      <c r="D23" s="292"/>
      <c r="E23" s="293"/>
      <c r="F23" s="294"/>
      <c r="G23" s="53"/>
      <c r="H23" s="53"/>
      <c r="I23" s="53"/>
      <c r="J23" s="53"/>
      <c r="K23" s="53"/>
      <c r="L23" s="81"/>
      <c r="M23" s="74"/>
      <c r="N23" s="49"/>
      <c r="P23" s="50">
        <v>90.5</v>
      </c>
      <c r="Q23" s="73">
        <v>0.03</v>
      </c>
      <c r="R23" s="63">
        <f t="shared" si="1"/>
        <v>-0.97</v>
      </c>
      <c r="S23" s="50">
        <f t="shared" si="2"/>
        <v>0</v>
      </c>
      <c r="V23" s="51">
        <f>S29-V22</f>
        <v>-24640.97587719297</v>
      </c>
    </row>
    <row r="24" spans="1:22" s="50" customFormat="1" ht="30" customHeight="1" x14ac:dyDescent="0.3">
      <c r="A24" s="68"/>
      <c r="B24" s="290" t="str">
        <f>IF(A24:A35="","",VLOOKUP(A24:A35,#REF!,4,FALSE))</f>
        <v/>
      </c>
      <c r="C24" s="291"/>
      <c r="D24" s="292"/>
      <c r="E24" s="293"/>
      <c r="F24" s="294"/>
      <c r="G24" s="53"/>
      <c r="H24" s="53"/>
      <c r="I24" s="53"/>
      <c r="J24" s="53"/>
      <c r="K24" s="53"/>
      <c r="L24" s="81"/>
      <c r="M24" s="74"/>
      <c r="N24" s="49"/>
      <c r="P24" s="50">
        <v>75</v>
      </c>
      <c r="Q24" s="73">
        <v>0.03</v>
      </c>
      <c r="R24" s="63">
        <f t="shared" si="1"/>
        <v>-0.97</v>
      </c>
      <c r="S24" s="50">
        <f t="shared" si="2"/>
        <v>0</v>
      </c>
      <c r="V24" s="51"/>
    </row>
    <row r="25" spans="1:22" s="50" customFormat="1" ht="30" customHeight="1" x14ac:dyDescent="0.3">
      <c r="A25" s="68"/>
      <c r="B25" s="290" t="str">
        <f>IF(A25:A36="","",VLOOKUP(A25:A36,#REF!,4,FALSE))</f>
        <v/>
      </c>
      <c r="C25" s="291"/>
      <c r="D25" s="292"/>
      <c r="E25" s="293"/>
      <c r="F25" s="294"/>
      <c r="G25" s="53"/>
      <c r="H25" s="53"/>
      <c r="I25" s="53"/>
      <c r="J25" s="53"/>
      <c r="K25" s="53"/>
      <c r="L25" s="81"/>
      <c r="M25" s="74"/>
      <c r="N25" s="49"/>
      <c r="P25" s="50">
        <v>33.200000000000003</v>
      </c>
      <c r="Q25" s="73">
        <v>0.03</v>
      </c>
      <c r="R25" s="63">
        <f t="shared" si="1"/>
        <v>-0.97</v>
      </c>
      <c r="S25" s="50">
        <f t="shared" si="2"/>
        <v>0</v>
      </c>
      <c r="V25" s="51"/>
    </row>
    <row r="26" spans="1:22" s="50" customFormat="1" ht="30" customHeight="1" x14ac:dyDescent="0.3">
      <c r="A26" s="68"/>
      <c r="B26" s="290" t="str">
        <f>IF(A26:A37="","",VLOOKUP(A26:A37,#REF!,4,FALSE))</f>
        <v/>
      </c>
      <c r="C26" s="291"/>
      <c r="D26" s="292"/>
      <c r="E26" s="293"/>
      <c r="F26" s="294"/>
      <c r="G26" s="53"/>
      <c r="H26" s="53"/>
      <c r="I26" s="53"/>
      <c r="J26" s="53"/>
      <c r="K26" s="53"/>
      <c r="L26" s="81"/>
      <c r="M26" s="74"/>
      <c r="N26" s="49"/>
      <c r="P26" s="50">
        <v>29.5</v>
      </c>
      <c r="Q26" s="73">
        <v>0.03</v>
      </c>
      <c r="R26" s="63">
        <f t="shared" si="1"/>
        <v>-0.97</v>
      </c>
      <c r="S26" s="50">
        <f t="shared" si="2"/>
        <v>0</v>
      </c>
      <c r="V26" s="51"/>
    </row>
    <row r="27" spans="1:22" s="50" customFormat="1" ht="30" customHeight="1" x14ac:dyDescent="0.3">
      <c r="A27" s="68"/>
      <c r="B27" s="290" t="str">
        <f>IF(A27:A38="","",VLOOKUP(A27:A38,#REF!,4,FALSE))</f>
        <v/>
      </c>
      <c r="C27" s="291"/>
      <c r="D27" s="292"/>
      <c r="E27" s="293"/>
      <c r="F27" s="294"/>
      <c r="G27" s="53"/>
      <c r="H27" s="53"/>
      <c r="I27" s="53"/>
      <c r="J27" s="53"/>
      <c r="K27" s="53"/>
      <c r="L27" s="81"/>
      <c r="M27" s="74"/>
      <c r="N27" s="49"/>
      <c r="P27" s="50">
        <v>50.4</v>
      </c>
      <c r="Q27" s="73">
        <v>0.03</v>
      </c>
      <c r="R27" s="63">
        <f t="shared" si="1"/>
        <v>-0.97</v>
      </c>
      <c r="S27" s="50">
        <f t="shared" si="2"/>
        <v>0</v>
      </c>
      <c r="V27" s="51"/>
    </row>
    <row r="28" spans="1:22" s="50" customFormat="1" ht="30" customHeight="1" x14ac:dyDescent="0.3">
      <c r="A28" s="68"/>
      <c r="B28" s="290" t="str">
        <f>IF(A28:A39="","",VLOOKUP(A28:A39,#REF!,4,FALSE))</f>
        <v/>
      </c>
      <c r="C28" s="291"/>
      <c r="D28" s="292"/>
      <c r="E28" s="293"/>
      <c r="F28" s="294"/>
      <c r="G28" s="53"/>
      <c r="H28" s="53"/>
      <c r="I28" s="53"/>
      <c r="J28" s="53"/>
      <c r="K28" s="53"/>
      <c r="L28" s="81"/>
      <c r="M28" s="74"/>
      <c r="N28" s="49"/>
      <c r="R28" s="63"/>
      <c r="V28" s="51"/>
    </row>
    <row r="29" spans="1:22" ht="16.5" x14ac:dyDescent="0.3">
      <c r="A29" s="14" t="s">
        <v>5</v>
      </c>
      <c r="B29" s="7"/>
      <c r="C29" s="7"/>
      <c r="D29" s="7"/>
      <c r="E29" s="7"/>
      <c r="F29" s="7"/>
      <c r="G29" s="7"/>
      <c r="H29" s="7"/>
      <c r="I29" s="7"/>
      <c r="J29" s="25">
        <f>SUM(J17:J28)</f>
        <v>17000</v>
      </c>
      <c r="K29" s="25">
        <f>SUM(K17:K28)</f>
        <v>19040</v>
      </c>
      <c r="L29" s="25"/>
      <c r="M29" s="58">
        <f>SUM(M17:M28)</f>
        <v>445700</v>
      </c>
      <c r="O29" s="313" t="s">
        <v>79</v>
      </c>
      <c r="P29" s="313"/>
      <c r="Q29" s="313"/>
      <c r="R29" s="313"/>
      <c r="S29">
        <f>SUM(S17:S28)</f>
        <v>697.52412280703084</v>
      </c>
      <c r="V29" s="47">
        <f>S29/M38</f>
        <v>1.5140527953267438E-3</v>
      </c>
    </row>
    <row r="30" spans="1:22" ht="21" x14ac:dyDescent="0.3">
      <c r="A30" s="286" t="s">
        <v>37</v>
      </c>
      <c r="B30" s="287"/>
      <c r="C30" s="271" t="s">
        <v>40</v>
      </c>
      <c r="D30" s="271"/>
      <c r="E30" s="6"/>
      <c r="F30" s="6"/>
      <c r="G30" s="6"/>
      <c r="H30" s="6"/>
      <c r="I30" s="6"/>
      <c r="J30" s="6"/>
      <c r="K30" s="295" t="s">
        <v>21</v>
      </c>
      <c r="L30" s="296"/>
      <c r="M30" s="57">
        <f>M29</f>
        <v>445700</v>
      </c>
      <c r="R30" s="46"/>
      <c r="V30" s="47"/>
    </row>
    <row r="31" spans="1:22" ht="18.75" x14ac:dyDescent="0.3">
      <c r="A31" s="286" t="s">
        <v>38</v>
      </c>
      <c r="B31" s="287"/>
      <c r="C31" s="271" t="s">
        <v>48</v>
      </c>
      <c r="D31" s="271"/>
      <c r="E31" s="6"/>
      <c r="F31" s="6"/>
      <c r="G31" s="6"/>
      <c r="H31" s="6"/>
      <c r="I31" s="6"/>
      <c r="J31" s="6"/>
      <c r="K31" s="288" t="s">
        <v>22</v>
      </c>
      <c r="L31" s="289"/>
      <c r="M31" s="56">
        <f>(R14*W13+S14*W14)/T14</f>
        <v>15000</v>
      </c>
      <c r="R31" s="47"/>
      <c r="V31" s="47"/>
    </row>
    <row r="32" spans="1:22" ht="16.5" customHeight="1" x14ac:dyDescent="0.3">
      <c r="A32" s="12" t="s">
        <v>46</v>
      </c>
      <c r="B32" s="6"/>
      <c r="C32" s="44" t="s">
        <v>28</v>
      </c>
      <c r="D32" s="6"/>
      <c r="E32" s="6"/>
      <c r="F32" s="6"/>
      <c r="G32" s="6"/>
      <c r="H32" s="6"/>
      <c r="I32" s="6"/>
      <c r="J32" s="6"/>
      <c r="K32" s="276" t="s">
        <v>26</v>
      </c>
      <c r="L32" s="277"/>
      <c r="M32" s="55">
        <v>0</v>
      </c>
      <c r="S32" s="69" t="s">
        <v>82</v>
      </c>
    </row>
    <row r="33" spans="1:19" ht="16.5" customHeight="1" x14ac:dyDescent="0.3">
      <c r="A33" s="15" t="s">
        <v>68</v>
      </c>
      <c r="B33" s="6"/>
      <c r="C33" s="6"/>
      <c r="D33" s="6"/>
      <c r="E33" s="6"/>
      <c r="F33" s="6"/>
      <c r="G33" s="6"/>
      <c r="H33" s="6"/>
      <c r="I33" s="6"/>
      <c r="J33" s="6"/>
      <c r="K33" s="276" t="s">
        <v>27</v>
      </c>
      <c r="L33" s="277"/>
      <c r="M33" s="55">
        <v>0</v>
      </c>
    </row>
    <row r="34" spans="1:19" ht="16.5" customHeight="1" x14ac:dyDescent="0.3">
      <c r="A34" s="16" t="s">
        <v>13</v>
      </c>
      <c r="B34" s="6"/>
      <c r="C34" s="6"/>
      <c r="D34" s="6"/>
      <c r="E34" s="6"/>
      <c r="F34" s="6"/>
      <c r="G34" s="6"/>
      <c r="H34" s="6"/>
      <c r="I34" s="6"/>
      <c r="J34" s="6"/>
      <c r="K34" s="6"/>
      <c r="L34" s="6"/>
      <c r="M34" s="55">
        <v>0</v>
      </c>
    </row>
    <row r="35" spans="1:19" ht="16.5" customHeight="1" x14ac:dyDescent="0.3">
      <c r="A35" s="16" t="s">
        <v>14</v>
      </c>
      <c r="B35" s="6"/>
      <c r="C35" s="6"/>
      <c r="D35" s="6"/>
      <c r="E35" s="6"/>
      <c r="F35" s="6"/>
      <c r="G35" s="6"/>
      <c r="H35" s="6"/>
      <c r="I35" s="6"/>
      <c r="J35" s="6"/>
      <c r="K35" s="6"/>
      <c r="L35" s="6"/>
      <c r="M35" s="55">
        <v>0</v>
      </c>
    </row>
    <row r="36" spans="1:19" ht="16.5" customHeight="1" x14ac:dyDescent="0.3">
      <c r="A36" s="16" t="s">
        <v>15</v>
      </c>
      <c r="B36" s="6"/>
      <c r="C36" s="6"/>
      <c r="D36" s="6"/>
      <c r="E36" s="6"/>
      <c r="F36" s="6"/>
      <c r="G36" s="6"/>
      <c r="H36" s="6"/>
      <c r="I36" s="6"/>
      <c r="J36" s="6"/>
      <c r="K36" s="6"/>
      <c r="L36" s="6"/>
      <c r="M36" s="55">
        <v>0</v>
      </c>
    </row>
    <row r="37" spans="1:19" ht="16.5" customHeight="1" x14ac:dyDescent="0.3">
      <c r="A37" s="16" t="s">
        <v>16</v>
      </c>
      <c r="B37" s="6"/>
      <c r="C37" s="6"/>
      <c r="D37" s="6"/>
      <c r="E37" s="6"/>
      <c r="F37" s="6"/>
      <c r="G37" s="6"/>
      <c r="H37" s="6"/>
      <c r="I37" s="6"/>
      <c r="J37" s="6"/>
      <c r="K37" s="6"/>
      <c r="L37" s="6"/>
      <c r="M37" s="55">
        <v>0</v>
      </c>
    </row>
    <row r="38" spans="1:19" ht="21.75" thickBot="1" x14ac:dyDescent="0.4">
      <c r="A38" s="16" t="s">
        <v>65</v>
      </c>
      <c r="B38" s="1"/>
      <c r="C38" s="1"/>
      <c r="D38" s="1"/>
      <c r="E38" s="1"/>
      <c r="F38" s="1"/>
      <c r="G38" s="1"/>
      <c r="H38" s="1"/>
      <c r="I38" s="1"/>
      <c r="J38" s="1"/>
      <c r="K38" s="278" t="s">
        <v>25</v>
      </c>
      <c r="L38" s="279"/>
      <c r="M38" s="54">
        <f>SUM(M30+M31)</f>
        <v>460700</v>
      </c>
      <c r="O38" s="72">
        <v>426655.25</v>
      </c>
    </row>
    <row r="39" spans="1:19" ht="18.75" thickBot="1" x14ac:dyDescent="0.35">
      <c r="A39" s="280" t="s">
        <v>83</v>
      </c>
      <c r="B39" s="281"/>
      <c r="C39" s="282" t="e">
        <f ca="1">SpellNumber(M38)</f>
        <v>#NAME?</v>
      </c>
      <c r="D39" s="282"/>
      <c r="E39" s="282"/>
      <c r="F39" s="282"/>
      <c r="G39" s="282"/>
      <c r="H39" s="282"/>
      <c r="I39" s="282"/>
      <c r="J39" s="283"/>
      <c r="K39" s="1"/>
      <c r="L39" s="1"/>
      <c r="M39" s="45" t="s">
        <v>51</v>
      </c>
    </row>
    <row r="40" spans="1:19" x14ac:dyDescent="0.3">
      <c r="A40" s="284"/>
      <c r="B40" s="285"/>
      <c r="C40" s="285"/>
      <c r="D40" s="285"/>
      <c r="E40" s="285"/>
      <c r="F40" s="285"/>
      <c r="G40" s="285"/>
      <c r="H40" s="285"/>
      <c r="I40" s="285"/>
      <c r="J40" s="285"/>
      <c r="K40" s="1"/>
      <c r="L40" s="1"/>
      <c r="M40" s="17"/>
    </row>
    <row r="41" spans="1:19" ht="16.5" x14ac:dyDescent="0.3">
      <c r="A41" s="18" t="s">
        <v>8</v>
      </c>
      <c r="B41" s="5"/>
      <c r="C41" s="5"/>
      <c r="D41" s="5"/>
      <c r="E41" s="5"/>
      <c r="F41" s="5"/>
      <c r="G41" s="5"/>
      <c r="H41" s="5"/>
      <c r="I41" s="5"/>
      <c r="J41" s="5"/>
      <c r="K41" s="5"/>
      <c r="L41" s="5"/>
      <c r="M41" s="19"/>
    </row>
    <row r="42" spans="1:19" x14ac:dyDescent="0.3">
      <c r="A42" s="28" t="s">
        <v>4</v>
      </c>
      <c r="B42" s="27"/>
      <c r="C42" s="27" t="s">
        <v>28</v>
      </c>
      <c r="D42" s="27"/>
      <c r="E42" s="27"/>
      <c r="F42" s="27"/>
      <c r="G42" s="1"/>
      <c r="H42" s="1"/>
      <c r="I42" s="1"/>
      <c r="J42" s="1"/>
      <c r="K42" s="1"/>
      <c r="L42" s="1"/>
      <c r="M42" s="17"/>
    </row>
    <row r="43" spans="1:19" x14ac:dyDescent="0.3">
      <c r="A43" s="28" t="s">
        <v>2</v>
      </c>
      <c r="B43" s="27"/>
      <c r="C43" s="27" t="s">
        <v>28</v>
      </c>
      <c r="D43" s="27"/>
      <c r="E43" s="27"/>
      <c r="F43" s="27"/>
      <c r="G43" s="1"/>
      <c r="H43" s="1"/>
      <c r="I43" s="1"/>
      <c r="J43" s="1"/>
      <c r="K43" s="1"/>
      <c r="L43" s="1"/>
      <c r="M43" s="17"/>
      <c r="S43" t="e">
        <f ca="1">SpellNumber(M38)</f>
        <v>#NAME?</v>
      </c>
    </row>
    <row r="44" spans="1:19" x14ac:dyDescent="0.3">
      <c r="A44" s="28" t="s">
        <v>3</v>
      </c>
      <c r="B44" s="27"/>
      <c r="C44" s="27" t="s">
        <v>29</v>
      </c>
      <c r="D44" s="27"/>
      <c r="E44" s="27"/>
      <c r="F44" s="27"/>
      <c r="G44" s="1"/>
      <c r="H44" s="1"/>
      <c r="I44" s="1"/>
      <c r="J44" s="1"/>
      <c r="K44" s="1"/>
      <c r="L44" s="1"/>
      <c r="M44" s="17"/>
    </row>
    <row r="45" spans="1:19" x14ac:dyDescent="0.3">
      <c r="A45" s="28"/>
      <c r="B45" s="27"/>
      <c r="C45" s="27"/>
      <c r="D45" s="27"/>
      <c r="E45" s="27"/>
      <c r="F45" s="27"/>
      <c r="G45" s="1"/>
      <c r="H45" s="1"/>
      <c r="I45" s="1"/>
      <c r="J45" s="1"/>
      <c r="K45" s="1"/>
      <c r="L45" s="1"/>
      <c r="M45" s="17"/>
      <c r="R45" t="e">
        <f ca="1">SpellNumber(M38)</f>
        <v>#NAME?</v>
      </c>
    </row>
    <row r="46" spans="1:19" x14ac:dyDescent="0.3">
      <c r="A46" s="29" t="s">
        <v>6</v>
      </c>
      <c r="B46" s="26"/>
      <c r="C46" s="271" t="s">
        <v>24</v>
      </c>
      <c r="D46" s="271"/>
      <c r="E46" s="271"/>
      <c r="F46" s="271"/>
      <c r="G46" s="2"/>
      <c r="H46" s="2"/>
      <c r="I46" s="2"/>
      <c r="J46" s="2"/>
      <c r="K46" s="2"/>
      <c r="L46" s="2"/>
      <c r="M46" s="17"/>
      <c r="R46" t="e">
        <f ca="1">SpellNumber(M38)</f>
        <v>#NAME?</v>
      </c>
    </row>
    <row r="47" spans="1:19" x14ac:dyDescent="0.3">
      <c r="A47" s="20"/>
      <c r="B47" s="2"/>
      <c r="C47" s="2"/>
      <c r="D47" s="2"/>
      <c r="E47" s="2"/>
      <c r="F47" s="2"/>
      <c r="G47" s="2"/>
      <c r="H47" s="2"/>
      <c r="I47" s="2"/>
      <c r="J47" s="2"/>
      <c r="K47" s="2"/>
      <c r="L47" s="2"/>
      <c r="M47" s="17"/>
      <c r="R47" t="e">
        <f ca="1">SpellNumber(M38)</f>
        <v>#NAME?</v>
      </c>
    </row>
    <row r="48" spans="1:19" ht="15" customHeight="1" x14ac:dyDescent="0.3">
      <c r="A48" s="272" t="s">
        <v>30</v>
      </c>
      <c r="B48" s="273"/>
      <c r="C48" s="273"/>
      <c r="D48" s="273"/>
      <c r="E48" s="273"/>
      <c r="F48" s="273"/>
      <c r="G48" s="273"/>
      <c r="H48" s="78"/>
      <c r="I48" s="2"/>
      <c r="J48" s="2"/>
      <c r="K48" s="2"/>
      <c r="L48" s="2"/>
      <c r="M48" s="17"/>
    </row>
    <row r="49" spans="1:13" x14ac:dyDescent="0.3">
      <c r="A49" s="272"/>
      <c r="B49" s="273"/>
      <c r="C49" s="273"/>
      <c r="D49" s="273"/>
      <c r="E49" s="273"/>
      <c r="F49" s="273"/>
      <c r="G49" s="273"/>
      <c r="H49" s="78"/>
      <c r="I49" s="2"/>
      <c r="J49" s="2"/>
      <c r="K49" s="2"/>
      <c r="L49" s="2"/>
      <c r="M49" s="17"/>
    </row>
    <row r="50" spans="1:13" x14ac:dyDescent="0.3">
      <c r="A50" s="272"/>
      <c r="B50" s="273"/>
      <c r="C50" s="273"/>
      <c r="D50" s="273"/>
      <c r="E50" s="273"/>
      <c r="F50" s="273"/>
      <c r="G50" s="273"/>
      <c r="H50" s="78"/>
      <c r="I50" s="2"/>
      <c r="J50" s="2"/>
      <c r="K50" s="2"/>
      <c r="L50" s="2"/>
      <c r="M50" s="17"/>
    </row>
    <row r="51" spans="1:13" x14ac:dyDescent="0.3">
      <c r="A51" s="21" t="s">
        <v>92</v>
      </c>
      <c r="B51" s="4"/>
      <c r="C51" s="2"/>
      <c r="D51" s="2"/>
      <c r="E51" s="2"/>
      <c r="F51" s="2"/>
      <c r="G51" s="2"/>
      <c r="H51" s="2"/>
      <c r="I51" s="2"/>
      <c r="J51" s="2"/>
      <c r="K51" s="2"/>
      <c r="L51" s="2"/>
      <c r="M51" s="17"/>
    </row>
    <row r="52" spans="1:13" ht="15.75" thickBot="1" x14ac:dyDescent="0.35">
      <c r="A52" s="274" t="s">
        <v>66</v>
      </c>
      <c r="B52" s="275"/>
      <c r="C52" s="275"/>
      <c r="D52" s="275"/>
      <c r="E52" s="24"/>
      <c r="F52" s="22"/>
      <c r="G52" s="22"/>
      <c r="H52" s="22"/>
      <c r="I52" s="22"/>
      <c r="J52" s="22"/>
      <c r="K52" s="22"/>
      <c r="L52" s="22"/>
      <c r="M52" s="23"/>
    </row>
  </sheetData>
  <mergeCells count="54">
    <mergeCell ref="K10:L10"/>
    <mergeCell ref="K11:L11"/>
    <mergeCell ref="K12:L12"/>
    <mergeCell ref="K13:L13"/>
    <mergeCell ref="B1:F1"/>
    <mergeCell ref="L2:M2"/>
    <mergeCell ref="L3:M3"/>
    <mergeCell ref="J5:K5"/>
    <mergeCell ref="L5:M5"/>
    <mergeCell ref="O13:P14"/>
    <mergeCell ref="K14:L14"/>
    <mergeCell ref="B16:D16"/>
    <mergeCell ref="E16:F16"/>
    <mergeCell ref="B17:D17"/>
    <mergeCell ref="E17:F17"/>
    <mergeCell ref="K15:L15"/>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O29:R29"/>
    <mergeCell ref="A30:B30"/>
    <mergeCell ref="C30:D30"/>
    <mergeCell ref="K30:L30"/>
    <mergeCell ref="A52:D52"/>
    <mergeCell ref="A31:B31"/>
    <mergeCell ref="C31:D31"/>
    <mergeCell ref="K31:L31"/>
    <mergeCell ref="K32:L32"/>
    <mergeCell ref="K33:L33"/>
    <mergeCell ref="K38:L38"/>
    <mergeCell ref="A39:B39"/>
    <mergeCell ref="C39:J39"/>
    <mergeCell ref="A40:J40"/>
    <mergeCell ref="C46:F46"/>
    <mergeCell ref="A48:G50"/>
  </mergeCells>
  <dataValidations count="1">
    <dataValidation type="list" allowBlank="1" showInputMessage="1" showErrorMessage="1" sqref="H17:H28" xr:uid="{00000000-0002-0000-1800-000000000000}">
      <formula1>$P$5:$P$7</formula1>
    </dataValidation>
  </dataValidations>
  <printOptions horizontalCentered="1"/>
  <pageMargins left="0.51181102362204722" right="0.51181102362204722" top="0.51181102362204722" bottom="0.51181102362204722" header="0.51181102362204722" footer="0.23622047244094491"/>
  <pageSetup scale="65" fitToHeight="0" orientation="portrait"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pageSetUpPr fitToPage="1"/>
  </sheetPr>
  <dimension ref="A1:Y52"/>
  <sheetViews>
    <sheetView showGridLines="0" topLeftCell="A25" zoomScale="85" zoomScaleNormal="85" workbookViewId="0">
      <selection activeCell="B1" sqref="B1:F1"/>
    </sheetView>
  </sheetViews>
  <sheetFormatPr defaultRowHeight="15" x14ac:dyDescent="0.3"/>
  <cols>
    <col min="1" max="3" width="11.42578125" customWidth="1"/>
    <col min="4" max="4" width="13.5703125" customWidth="1"/>
    <col min="5" max="5" width="11.42578125" customWidth="1"/>
    <col min="6" max="6" width="17" customWidth="1"/>
    <col min="7" max="7" width="8.140625" bestFit="1" customWidth="1"/>
    <col min="8" max="8" width="8" bestFit="1" customWidth="1"/>
    <col min="9" max="12" width="11.42578125" customWidth="1"/>
    <col min="13" max="13" width="16.85546875" customWidth="1"/>
    <col min="14" max="14" width="10.85546875" bestFit="1" customWidth="1"/>
    <col min="15" max="15" width="9.85546875" bestFit="1" customWidth="1"/>
    <col min="18" max="18" width="11.85546875" bestFit="1" customWidth="1"/>
    <col min="22" max="22" width="13.7109375" bestFit="1" customWidth="1"/>
  </cols>
  <sheetData>
    <row r="1" spans="1:25" ht="78" customHeight="1" x14ac:dyDescent="0.45">
      <c r="A1" s="8"/>
      <c r="B1" s="306" t="s">
        <v>74</v>
      </c>
      <c r="C1" s="306"/>
      <c r="D1" s="306"/>
      <c r="E1" s="306"/>
      <c r="F1" s="306"/>
      <c r="G1" s="80"/>
      <c r="H1" s="80"/>
      <c r="I1" s="80"/>
      <c r="J1" s="80"/>
      <c r="K1" s="80"/>
      <c r="L1" s="80"/>
      <c r="M1" s="30" t="s">
        <v>7</v>
      </c>
    </row>
    <row r="2" spans="1:25" ht="16.5" x14ac:dyDescent="0.3">
      <c r="A2" s="38" t="s">
        <v>69</v>
      </c>
      <c r="B2" s="39"/>
      <c r="C2" s="39"/>
      <c r="D2" s="9"/>
      <c r="E2" s="9"/>
      <c r="F2" s="9"/>
      <c r="G2" s="9"/>
      <c r="H2" s="9"/>
      <c r="I2" s="9"/>
      <c r="J2" s="35"/>
      <c r="K2" s="36" t="s">
        <v>45</v>
      </c>
      <c r="L2" s="307" t="s">
        <v>97</v>
      </c>
      <c r="M2" s="308"/>
    </row>
    <row r="3" spans="1:25" ht="16.5" x14ac:dyDescent="0.3">
      <c r="A3" s="40" t="s">
        <v>11</v>
      </c>
      <c r="B3" s="41"/>
      <c r="C3" s="41"/>
      <c r="D3" s="10"/>
      <c r="E3" s="10"/>
      <c r="F3" s="10"/>
      <c r="G3" s="10"/>
      <c r="H3" s="10"/>
      <c r="I3" s="10"/>
      <c r="J3" s="37"/>
      <c r="K3" s="36" t="s">
        <v>44</v>
      </c>
      <c r="L3" s="307" t="s">
        <v>96</v>
      </c>
      <c r="M3" s="308"/>
    </row>
    <row r="4" spans="1:25" ht="15" customHeight="1" x14ac:dyDescent="0.3">
      <c r="A4" s="40" t="s">
        <v>12</v>
      </c>
      <c r="B4" s="41"/>
      <c r="C4" s="41"/>
      <c r="D4" s="9"/>
      <c r="E4" s="9"/>
      <c r="F4" s="9"/>
      <c r="G4" s="9"/>
      <c r="H4" s="9"/>
      <c r="I4" s="9"/>
      <c r="J4" s="35"/>
      <c r="K4" s="36" t="s">
        <v>47</v>
      </c>
      <c r="L4" s="79" t="s">
        <v>98</v>
      </c>
      <c r="M4" s="77" t="s">
        <v>101</v>
      </c>
    </row>
    <row r="5" spans="1:25" ht="16.5" x14ac:dyDescent="0.3">
      <c r="A5" s="40" t="s">
        <v>10</v>
      </c>
      <c r="B5" s="41"/>
      <c r="C5" s="41"/>
      <c r="D5" s="9"/>
      <c r="E5" s="9"/>
      <c r="F5" s="9"/>
      <c r="G5" s="9"/>
      <c r="H5" s="9"/>
      <c r="I5" s="9"/>
      <c r="J5" s="309"/>
      <c r="K5" s="309"/>
      <c r="L5" s="310"/>
      <c r="M5" s="311"/>
      <c r="P5" t="s">
        <v>105</v>
      </c>
    </row>
    <row r="6" spans="1:25" ht="16.5" x14ac:dyDescent="0.3">
      <c r="A6" s="40" t="s">
        <v>9</v>
      </c>
      <c r="B6" s="41"/>
      <c r="C6" s="41"/>
      <c r="D6" s="9"/>
      <c r="E6" s="9"/>
      <c r="F6" s="9"/>
      <c r="G6" s="9"/>
      <c r="H6" s="9"/>
      <c r="I6" s="9"/>
      <c r="J6" s="9"/>
      <c r="K6" s="9"/>
      <c r="L6" s="9"/>
      <c r="M6" s="11"/>
      <c r="P6" t="s">
        <v>106</v>
      </c>
    </row>
    <row r="7" spans="1:25" x14ac:dyDescent="0.3">
      <c r="A7" s="12"/>
      <c r="B7" s="1"/>
      <c r="C7" s="1"/>
      <c r="D7" s="9"/>
      <c r="E7" s="9"/>
      <c r="F7" s="9"/>
      <c r="G7" s="9"/>
      <c r="H7" s="9"/>
      <c r="I7" s="9"/>
      <c r="J7" s="9"/>
      <c r="K7" s="9"/>
      <c r="L7" s="9"/>
      <c r="M7" s="11"/>
      <c r="P7" t="s">
        <v>89</v>
      </c>
    </row>
    <row r="8" spans="1:25" x14ac:dyDescent="0.3">
      <c r="A8" s="12"/>
      <c r="B8" s="1"/>
      <c r="C8" s="1"/>
      <c r="D8" s="1"/>
      <c r="E8" s="1"/>
      <c r="F8" s="1"/>
      <c r="G8" s="1"/>
      <c r="H8" s="1"/>
      <c r="I8" s="1"/>
      <c r="J8" s="1"/>
      <c r="K8" s="1"/>
      <c r="L8" s="1"/>
      <c r="M8" s="11"/>
    </row>
    <row r="9" spans="1:25" ht="16.5" x14ac:dyDescent="0.3">
      <c r="A9" s="13" t="s">
        <v>1</v>
      </c>
      <c r="B9" s="3"/>
      <c r="C9" s="3"/>
      <c r="D9" s="3"/>
      <c r="E9" s="3"/>
      <c r="F9" s="3"/>
      <c r="G9" s="3"/>
      <c r="H9" s="3"/>
      <c r="I9" s="3"/>
      <c r="J9" s="3"/>
      <c r="K9" s="3"/>
      <c r="L9" s="3" t="s">
        <v>31</v>
      </c>
      <c r="M9" s="34"/>
    </row>
    <row r="10" spans="1:25" ht="16.5" x14ac:dyDescent="0.3">
      <c r="A10" s="40" t="s">
        <v>88</v>
      </c>
      <c r="B10" s="41"/>
      <c r="C10" s="41"/>
      <c r="D10" s="9"/>
      <c r="E10" s="9"/>
      <c r="F10" s="9"/>
      <c r="G10" s="9"/>
      <c r="H10" s="9"/>
      <c r="I10" s="9"/>
      <c r="J10" s="9"/>
      <c r="K10" s="299" t="s">
        <v>32</v>
      </c>
      <c r="L10" s="299"/>
      <c r="M10" s="59" t="s">
        <v>34</v>
      </c>
    </row>
    <row r="11" spans="1:25" ht="16.5" customHeight="1" x14ac:dyDescent="0.3">
      <c r="A11" s="40" t="s">
        <v>86</v>
      </c>
      <c r="B11" s="41"/>
      <c r="C11" s="41"/>
      <c r="D11" s="9"/>
      <c r="E11" s="9"/>
      <c r="F11" s="9"/>
      <c r="G11" s="9"/>
      <c r="H11" s="9"/>
      <c r="I11" s="9"/>
      <c r="J11" s="9"/>
      <c r="K11" s="299" t="s">
        <v>42</v>
      </c>
      <c r="L11" s="299"/>
      <c r="M11" s="59" t="s">
        <v>43</v>
      </c>
    </row>
    <row r="12" spans="1:25" ht="16.5" customHeight="1" x14ac:dyDescent="0.3">
      <c r="A12" s="40" t="s">
        <v>87</v>
      </c>
      <c r="B12" s="41"/>
      <c r="C12" s="41"/>
      <c r="D12" s="9"/>
      <c r="E12" s="9"/>
      <c r="F12" s="9"/>
      <c r="G12" s="9"/>
      <c r="H12" s="9"/>
      <c r="I12" s="9"/>
      <c r="J12" s="9"/>
      <c r="K12" s="299" t="s">
        <v>41</v>
      </c>
      <c r="L12" s="299"/>
      <c r="M12" s="61">
        <f xml:space="preserve"> K29</f>
        <v>11720</v>
      </c>
      <c r="W12" t="s">
        <v>80</v>
      </c>
      <c r="Y12" t="s">
        <v>36</v>
      </c>
    </row>
    <row r="13" spans="1:25" ht="16.5" customHeight="1" x14ac:dyDescent="0.3">
      <c r="A13" s="40" t="s">
        <v>85</v>
      </c>
      <c r="B13" s="41"/>
      <c r="C13" s="41"/>
      <c r="D13" s="9"/>
      <c r="E13" s="9"/>
      <c r="F13" s="9"/>
      <c r="G13" s="9"/>
      <c r="H13" s="9"/>
      <c r="I13" s="9"/>
      <c r="J13" s="9"/>
      <c r="K13" s="299" t="s">
        <v>35</v>
      </c>
      <c r="L13" s="299"/>
      <c r="M13" s="60" t="str">
        <f>IF(K29/J29=1.06,"Cartons",IF(K29/J29&gt;=1.12,"Drums","Cartons &amp; Drums"))</f>
        <v>Cartons &amp; Drums</v>
      </c>
      <c r="O13" s="215" t="s">
        <v>77</v>
      </c>
      <c r="P13" s="215"/>
      <c r="Q13" s="75"/>
      <c r="R13" s="64" t="s">
        <v>78</v>
      </c>
      <c r="S13" s="65" t="s">
        <v>76</v>
      </c>
      <c r="T13" t="s">
        <v>95</v>
      </c>
      <c r="V13" s="51" t="s">
        <v>75</v>
      </c>
      <c r="W13" s="50">
        <v>19800</v>
      </c>
      <c r="Y13" t="s">
        <v>67</v>
      </c>
    </row>
    <row r="14" spans="1:25" ht="16.5" customHeight="1" x14ac:dyDescent="0.3">
      <c r="A14" s="42" t="s">
        <v>84</v>
      </c>
      <c r="B14" s="43"/>
      <c r="C14" s="41"/>
      <c r="D14" s="9"/>
      <c r="E14" s="9"/>
      <c r="F14" s="9"/>
      <c r="G14" s="9"/>
      <c r="H14" s="9"/>
      <c r="I14" s="9"/>
      <c r="J14" s="9"/>
      <c r="K14" s="299" t="s">
        <v>33</v>
      </c>
      <c r="L14" s="299"/>
      <c r="M14" s="60">
        <f>J29/25</f>
        <v>440</v>
      </c>
      <c r="O14" s="215"/>
      <c r="P14" s="215"/>
      <c r="Q14" s="75"/>
      <c r="R14" s="75">
        <v>1</v>
      </c>
      <c r="S14" s="66"/>
      <c r="T14">
        <v>3</v>
      </c>
      <c r="V14" s="51" t="s">
        <v>76</v>
      </c>
      <c r="W14" s="50">
        <v>15000</v>
      </c>
      <c r="Y14" t="s">
        <v>91</v>
      </c>
    </row>
    <row r="15" spans="1:25" ht="12" customHeight="1" x14ac:dyDescent="0.3">
      <c r="A15" s="12"/>
      <c r="B15" s="1"/>
      <c r="C15" s="43"/>
      <c r="D15" s="1"/>
      <c r="E15" s="1"/>
      <c r="F15" s="1"/>
      <c r="G15" s="1"/>
      <c r="H15" s="1"/>
      <c r="I15" s="1"/>
      <c r="J15" s="1"/>
      <c r="K15" s="299"/>
      <c r="L15" s="299"/>
      <c r="M15" s="59"/>
      <c r="Y15" t="s">
        <v>89</v>
      </c>
    </row>
    <row r="16" spans="1:25" ht="48.75" customHeight="1" x14ac:dyDescent="0.3">
      <c r="A16" s="31" t="s">
        <v>17</v>
      </c>
      <c r="B16" s="312" t="s">
        <v>0</v>
      </c>
      <c r="C16" s="312"/>
      <c r="D16" s="312"/>
      <c r="E16" s="312" t="s">
        <v>39</v>
      </c>
      <c r="F16" s="312"/>
      <c r="G16" s="32" t="s">
        <v>18</v>
      </c>
      <c r="H16" s="32" t="s">
        <v>104</v>
      </c>
      <c r="I16" s="32" t="s">
        <v>19</v>
      </c>
      <c r="J16" s="32" t="s">
        <v>20</v>
      </c>
      <c r="K16" s="32" t="s">
        <v>23</v>
      </c>
      <c r="L16" s="32" t="s">
        <v>49</v>
      </c>
      <c r="M16" s="33" t="s">
        <v>50</v>
      </c>
      <c r="O16" s="32" t="s">
        <v>72</v>
      </c>
      <c r="P16" s="32" t="s">
        <v>81</v>
      </c>
      <c r="Q16" s="32" t="s">
        <v>94</v>
      </c>
      <c r="R16" s="32" t="s">
        <v>93</v>
      </c>
      <c r="S16" s="32" t="s">
        <v>73</v>
      </c>
    </row>
    <row r="17" spans="1:22" s="50" customFormat="1" ht="30" customHeight="1" x14ac:dyDescent="0.3">
      <c r="A17" s="67">
        <v>2053</v>
      </c>
      <c r="B17" s="290" t="e">
        <f>IF(A17:A28="","",IF(L$4="sys/",VLOOKUP(A17:A28,#REF!,4,FALSE)))</f>
        <v>#REF!</v>
      </c>
      <c r="C17" s="291"/>
      <c r="D17" s="292"/>
      <c r="E17" s="293" t="e">
        <f>IF(A17:A28="","",IF(L$4="sys/",VLOOKUP(A17:A28,#REF!,7,FALSE)))</f>
        <v>#REF!</v>
      </c>
      <c r="F17" s="294"/>
      <c r="G17" s="53" t="e">
        <f>IF(A17:A28="","",IF(L$4="sys/",VLOOKUP(A17:A28,#REF!,9,FALSE)))</f>
        <v>#REF!</v>
      </c>
      <c r="H17" s="53" t="s">
        <v>105</v>
      </c>
      <c r="I17" s="53" t="e">
        <f>IF(A17:A28="","",IF(L$4="sys/",VLOOKUP(A17:A28,#REF!,8,FALSE)))</f>
        <v>#REF!</v>
      </c>
      <c r="J17" s="52">
        <v>2000</v>
      </c>
      <c r="K17" s="52">
        <f>IF(H17="","",IF(H17="carton",(J17*26.5/25),IF(H17="drum",J17*28/25,IF(H17="bale",0))))</f>
        <v>2120</v>
      </c>
      <c r="L17" s="82" t="str">
        <f t="shared" ref="L17:L22" si="0">FIXED(O17-(M$31/J$29),2,1)</f>
        <v>71.60</v>
      </c>
      <c r="M17" s="74">
        <f t="shared" ref="M17:M22" si="1">J17*L17</f>
        <v>143200</v>
      </c>
      <c r="N17" s="49"/>
      <c r="O17" s="70">
        <v>72.2</v>
      </c>
      <c r="P17" s="48">
        <v>28.5</v>
      </c>
      <c r="Q17" s="73">
        <v>0.03</v>
      </c>
      <c r="R17" s="63">
        <f t="shared" ref="R17:R27" si="2">(O17-P17)/P17+Q17</f>
        <v>1.5633333333333335</v>
      </c>
      <c r="S17" s="50">
        <f t="shared" ref="S17:S27" si="3">O17*J17*R17</f>
        <v>225745.33333333334</v>
      </c>
      <c r="T17" s="50">
        <f t="shared" ref="T17:T22" si="4">O17*J17</f>
        <v>144400</v>
      </c>
    </row>
    <row r="18" spans="1:22" s="50" customFormat="1" ht="30" customHeight="1" x14ac:dyDescent="0.3">
      <c r="A18" s="68" t="s">
        <v>62</v>
      </c>
      <c r="B18" s="290" t="e">
        <f>IF(A18:A29="","",IF(L$4="sys/",VLOOKUP(A18:A29,#REF!,4,FALSE)))</f>
        <v>#REF!</v>
      </c>
      <c r="C18" s="291"/>
      <c r="D18" s="292"/>
      <c r="E18" s="293" t="e">
        <f>IF(A18:A29="","",IF(L$4="sys/",VLOOKUP(A18:A29,#REF!,7,FALSE)))</f>
        <v>#REF!</v>
      </c>
      <c r="F18" s="294"/>
      <c r="G18" s="53" t="e">
        <f>IF(A18:A29="","",IF(L$4="sys/",VLOOKUP(A18:A29,#REF!,9,FALSE)))</f>
        <v>#REF!</v>
      </c>
      <c r="H18" s="53" t="s">
        <v>105</v>
      </c>
      <c r="I18" s="53" t="e">
        <f>IF(A18:A29="","",IF(L$4="sys/",VLOOKUP(A18:A29,#REF!,8,FALSE)))</f>
        <v>#REF!</v>
      </c>
      <c r="J18" s="53">
        <v>1000</v>
      </c>
      <c r="K18" s="53">
        <f t="shared" ref="K18:K28" si="5">IF(H18="","",IF(H18="carton",(J18*26.5/25),IF(H18="drum",J18*28/25,IF(H18="bale",0))))</f>
        <v>1060</v>
      </c>
      <c r="L18" s="81" t="str">
        <f t="shared" si="0"/>
        <v>47.44</v>
      </c>
      <c r="M18" s="74">
        <f t="shared" si="1"/>
        <v>47440</v>
      </c>
      <c r="N18" s="49"/>
      <c r="O18" s="70">
        <v>48.04</v>
      </c>
      <c r="P18" s="48">
        <v>24</v>
      </c>
      <c r="Q18" s="73">
        <v>0.03</v>
      </c>
      <c r="R18" s="63">
        <f t="shared" si="2"/>
        <v>1.0316666666666667</v>
      </c>
      <c r="S18" s="50">
        <f t="shared" si="3"/>
        <v>49561.26666666667</v>
      </c>
      <c r="T18" s="50">
        <f t="shared" si="4"/>
        <v>48040</v>
      </c>
    </row>
    <row r="19" spans="1:22" s="50" customFormat="1" ht="30" customHeight="1" x14ac:dyDescent="0.3">
      <c r="A19" s="68">
        <v>2813</v>
      </c>
      <c r="B19" s="290" t="e">
        <f>IF(A19:A30="","",IF(L$4="sys/",VLOOKUP(A19:A30,#REF!,4,FALSE)))</f>
        <v>#REF!</v>
      </c>
      <c r="C19" s="291"/>
      <c r="D19" s="292"/>
      <c r="E19" s="293" t="e">
        <f>IF(A19:A30="","",IF(L$4="sys/",VLOOKUP(A19:A30,#REF!,7,FALSE)))</f>
        <v>#REF!</v>
      </c>
      <c r="F19" s="294"/>
      <c r="G19" s="53" t="e">
        <f>IF(A19:A30="","",IF(L$4="sys/",VLOOKUP(A19:A30,#REF!,9,FALSE)))</f>
        <v>#REF!</v>
      </c>
      <c r="H19" s="53" t="s">
        <v>105</v>
      </c>
      <c r="I19" s="53" t="e">
        <f>IF(A19:A30="","",IF(L$4="sys/",VLOOKUP(A19:A30,#REF!,8,FALSE)))</f>
        <v>#REF!</v>
      </c>
      <c r="J19" s="53">
        <v>1000</v>
      </c>
      <c r="K19" s="53">
        <f t="shared" si="5"/>
        <v>1060</v>
      </c>
      <c r="L19" s="81" t="str">
        <f t="shared" si="0"/>
        <v>48.49</v>
      </c>
      <c r="M19" s="74">
        <f t="shared" si="1"/>
        <v>48490</v>
      </c>
      <c r="N19" s="49"/>
      <c r="O19" s="70">
        <v>49.09</v>
      </c>
      <c r="P19" s="48">
        <v>34</v>
      </c>
      <c r="Q19" s="73">
        <v>0.03</v>
      </c>
      <c r="R19" s="63">
        <f t="shared" si="2"/>
        <v>0.47382352941176475</v>
      </c>
      <c r="S19" s="50">
        <f t="shared" si="3"/>
        <v>23259.99705882353</v>
      </c>
      <c r="T19" s="50">
        <f t="shared" si="4"/>
        <v>49090</v>
      </c>
      <c r="V19" s="51"/>
    </row>
    <row r="20" spans="1:22" s="50" customFormat="1" ht="30" customHeight="1" x14ac:dyDescent="0.3">
      <c r="A20" s="68">
        <v>2842</v>
      </c>
      <c r="B20" s="290" t="e">
        <f>IF(A20:A31="","",IF(L$4="sys/",VLOOKUP(A20:A31,#REF!,4,FALSE)))</f>
        <v>#REF!</v>
      </c>
      <c r="C20" s="291"/>
      <c r="D20" s="292"/>
      <c r="E20" s="293" t="e">
        <f>IF(A20:A31="","",IF(L$4="sys/",VLOOKUP(A20:A31,#REF!,7,FALSE)))</f>
        <v>#REF!</v>
      </c>
      <c r="F20" s="294"/>
      <c r="G20" s="53" t="e">
        <f>IF(A20:A31="","",IF(L$4="sys/",VLOOKUP(A20:A31,#REF!,9,FALSE)))</f>
        <v>#REF!</v>
      </c>
      <c r="H20" s="53" t="s">
        <v>105</v>
      </c>
      <c r="I20" s="53" t="e">
        <f>IF(A20:A31="","",IF(L$4="sys/",VLOOKUP(A20:A31,#REF!,8,FALSE)))</f>
        <v>#REF!</v>
      </c>
      <c r="J20" s="53">
        <v>1000</v>
      </c>
      <c r="K20" s="53">
        <f t="shared" si="5"/>
        <v>1060</v>
      </c>
      <c r="L20" s="81" t="str">
        <f t="shared" si="0"/>
        <v>35.98</v>
      </c>
      <c r="M20" s="74">
        <f t="shared" si="1"/>
        <v>35980</v>
      </c>
      <c r="N20" s="49"/>
      <c r="O20" s="70">
        <v>36.58</v>
      </c>
      <c r="P20" s="48">
        <v>36.5</v>
      </c>
      <c r="Q20" s="73">
        <v>0.03</v>
      </c>
      <c r="R20" s="63">
        <f t="shared" si="2"/>
        <v>3.2191780821917759E-2</v>
      </c>
      <c r="S20" s="50">
        <f t="shared" si="3"/>
        <v>1177.5753424657516</v>
      </c>
      <c r="T20" s="50">
        <f t="shared" si="4"/>
        <v>36580</v>
      </c>
    </row>
    <row r="21" spans="1:22" s="50" customFormat="1" ht="30" customHeight="1" x14ac:dyDescent="0.3">
      <c r="A21" s="68">
        <v>2383</v>
      </c>
      <c r="B21" s="290" t="e">
        <f>IF(A21:A32="","",IF(L$4="sys/",VLOOKUP(A21:A32,#REF!,4,FALSE)))</f>
        <v>#REF!</v>
      </c>
      <c r="C21" s="291"/>
      <c r="D21" s="292"/>
      <c r="E21" s="293" t="e">
        <f>IF(A21:A32="","",IF(L$4="sys/",VLOOKUP(A21:A32,#REF!,7,FALSE)))</f>
        <v>#REF!</v>
      </c>
      <c r="F21" s="294"/>
      <c r="G21" s="53" t="e">
        <f>IF(A21:A32="","",IF(L$4="sys/",VLOOKUP(A21:A32,#REF!,9,FALSE)))</f>
        <v>#REF!</v>
      </c>
      <c r="H21" s="53" t="s">
        <v>105</v>
      </c>
      <c r="I21" s="53" t="e">
        <f>IF(A21:A32="","",IF(L$4="sys/",VLOOKUP(A21:A32,#REF!,8,FALSE)))</f>
        <v>#REF!</v>
      </c>
      <c r="J21" s="53">
        <v>5000</v>
      </c>
      <c r="K21" s="53">
        <f t="shared" si="5"/>
        <v>5300</v>
      </c>
      <c r="L21" s="81" t="str">
        <f t="shared" si="0"/>
        <v>48.01</v>
      </c>
      <c r="M21" s="74">
        <f t="shared" si="1"/>
        <v>240050</v>
      </c>
      <c r="N21" s="49"/>
      <c r="O21" s="70">
        <v>48.61</v>
      </c>
      <c r="P21" s="48">
        <v>38</v>
      </c>
      <c r="Q21" s="73">
        <v>0.03</v>
      </c>
      <c r="R21" s="63">
        <f t="shared" si="2"/>
        <v>0.30921052631578949</v>
      </c>
      <c r="S21" s="50">
        <f t="shared" si="3"/>
        <v>75153.618421052641</v>
      </c>
      <c r="T21" s="50">
        <f t="shared" si="4"/>
        <v>243050</v>
      </c>
      <c r="V21" s="51"/>
    </row>
    <row r="22" spans="1:22" s="50" customFormat="1" ht="30" customHeight="1" x14ac:dyDescent="0.3">
      <c r="A22" s="68">
        <v>4063</v>
      </c>
      <c r="B22" s="290" t="e">
        <f>IF(A22:A33="","",IF(L$4="sys/",VLOOKUP(A22:A33,#REF!,4,FALSE)))</f>
        <v>#REF!</v>
      </c>
      <c r="C22" s="291"/>
      <c r="D22" s="292"/>
      <c r="E22" s="293" t="e">
        <f>IF(A22:A33="","",IF(L$4="sys/",VLOOKUP(A22:A33,#REF!,7,FALSE)))</f>
        <v>#REF!</v>
      </c>
      <c r="F22" s="294"/>
      <c r="G22" s="53" t="e">
        <f>IF(A22:A33="","",IF(L$4="sys/",VLOOKUP(A22:A33,#REF!,9,FALSE)))</f>
        <v>#REF!</v>
      </c>
      <c r="H22" s="53" t="s">
        <v>106</v>
      </c>
      <c r="I22" s="53" t="e">
        <f>IF(A22:A33="","",IF(L$4="sys/",VLOOKUP(A22:A33,#REF!,8,FALSE)))</f>
        <v>#REF!</v>
      </c>
      <c r="J22" s="53">
        <v>1000</v>
      </c>
      <c r="K22" s="53">
        <f t="shared" si="5"/>
        <v>1120</v>
      </c>
      <c r="L22" s="81" t="str">
        <f t="shared" si="0"/>
        <v>79.91</v>
      </c>
      <c r="M22" s="74">
        <f t="shared" si="1"/>
        <v>79910</v>
      </c>
      <c r="N22" s="49"/>
      <c r="O22" s="70">
        <v>80.510000000000005</v>
      </c>
      <c r="P22" s="48">
        <v>31.5</v>
      </c>
      <c r="Q22" s="73">
        <v>0.03</v>
      </c>
      <c r="R22" s="63">
        <f t="shared" si="2"/>
        <v>1.5858730158730161</v>
      </c>
      <c r="S22" s="50">
        <f t="shared" si="3"/>
        <v>127678.63650793652</v>
      </c>
      <c r="T22" s="50">
        <f t="shared" si="4"/>
        <v>80510</v>
      </c>
      <c r="V22" s="51">
        <f>M38*5.5%</f>
        <v>33091.85</v>
      </c>
    </row>
    <row r="23" spans="1:22" s="50" customFormat="1" ht="30" customHeight="1" x14ac:dyDescent="0.3">
      <c r="A23" s="68"/>
      <c r="B23" s="290" t="str">
        <f>IF(A23:A34="","",IF(L$4="sys/",VLOOKUP(A23:A34,#REF!,4,FALSE)))</f>
        <v/>
      </c>
      <c r="C23" s="291"/>
      <c r="D23" s="292"/>
      <c r="E23" s="293" t="str">
        <f>IF(A23:A34="","",IF(L$4="sys/",VLOOKUP(A23:A34,#REF!,7,FALSE)))</f>
        <v/>
      </c>
      <c r="F23" s="294"/>
      <c r="G23" s="53" t="str">
        <f>IF(A23:A34="","",IF(L$4="sys/",VLOOKUP(A23:A34,#REF!,9,FALSE)))</f>
        <v/>
      </c>
      <c r="H23" s="53"/>
      <c r="I23" s="53" t="str">
        <f>IF(A23:A34="","",IF(L$4="sys/",VLOOKUP(A23:A34,#REF!,8,FALSE)))</f>
        <v/>
      </c>
      <c r="J23" s="53"/>
      <c r="K23" s="53" t="str">
        <f t="shared" si="5"/>
        <v/>
      </c>
      <c r="L23" s="81"/>
      <c r="M23" s="74"/>
      <c r="N23" s="49"/>
      <c r="P23" s="50">
        <v>90.5</v>
      </c>
      <c r="Q23" s="73">
        <v>0.03</v>
      </c>
      <c r="R23" s="63">
        <f t="shared" si="2"/>
        <v>-0.97</v>
      </c>
      <c r="S23" s="50">
        <f t="shared" si="3"/>
        <v>0</v>
      </c>
      <c r="V23" s="51">
        <f>S29-V22</f>
        <v>469484.57733027852</v>
      </c>
    </row>
    <row r="24" spans="1:22" s="50" customFormat="1" ht="30" customHeight="1" x14ac:dyDescent="0.3">
      <c r="A24" s="68"/>
      <c r="B24" s="290" t="str">
        <f>IF(A24:A35="","",IF(L$4="sys/",VLOOKUP(A24:A35,#REF!,4,FALSE)))</f>
        <v/>
      </c>
      <c r="C24" s="291"/>
      <c r="D24" s="292"/>
      <c r="E24" s="293" t="str">
        <f>IF(A24:A35="","",IF(L$4="sys/",VLOOKUP(A24:A35,#REF!,7,FALSE)))</f>
        <v/>
      </c>
      <c r="F24" s="294"/>
      <c r="G24" s="53" t="str">
        <f>IF(A24:A35="","",IF(L$4="sys/",VLOOKUP(A24:A35,#REF!,9,FALSE)))</f>
        <v/>
      </c>
      <c r="H24" s="53"/>
      <c r="I24" s="53" t="str">
        <f>IF(A24:A35="","",IF(L$4="sys/",VLOOKUP(A24:A35,#REF!,8,FALSE)))</f>
        <v/>
      </c>
      <c r="J24" s="53"/>
      <c r="K24" s="53" t="str">
        <f t="shared" si="5"/>
        <v/>
      </c>
      <c r="L24" s="81"/>
      <c r="M24" s="74"/>
      <c r="N24" s="49"/>
      <c r="P24" s="50">
        <v>75</v>
      </c>
      <c r="Q24" s="73">
        <v>0.03</v>
      </c>
      <c r="R24" s="63">
        <f t="shared" si="2"/>
        <v>-0.97</v>
      </c>
      <c r="S24" s="50">
        <f t="shared" si="3"/>
        <v>0</v>
      </c>
      <c r="V24" s="51"/>
    </row>
    <row r="25" spans="1:22" s="50" customFormat="1" ht="30" customHeight="1" x14ac:dyDescent="0.3">
      <c r="A25" s="68"/>
      <c r="B25" s="290" t="str">
        <f>IF(A25:A36="","",IF(L$4="sys/",VLOOKUP(A25:A36,#REF!,4,FALSE)))</f>
        <v/>
      </c>
      <c r="C25" s="291"/>
      <c r="D25" s="292"/>
      <c r="E25" s="293" t="str">
        <f>IF(A25:A36="","",IF(L$4="sys/",VLOOKUP(A25:A36,#REF!,7,FALSE)))</f>
        <v/>
      </c>
      <c r="F25" s="294"/>
      <c r="G25" s="53" t="str">
        <f>IF(A25:A36="","",IF(L$4="sys/",VLOOKUP(A25:A36,#REF!,9,FALSE)))</f>
        <v/>
      </c>
      <c r="H25" s="53"/>
      <c r="I25" s="53" t="str">
        <f>IF(A25:A36="","",IF(L$4="sys/",VLOOKUP(A25:A36,#REF!,8,FALSE)))</f>
        <v/>
      </c>
      <c r="J25" s="53"/>
      <c r="K25" s="53" t="str">
        <f t="shared" si="5"/>
        <v/>
      </c>
      <c r="L25" s="81"/>
      <c r="M25" s="74"/>
      <c r="N25" s="49"/>
      <c r="P25" s="50">
        <v>33.200000000000003</v>
      </c>
      <c r="Q25" s="73">
        <v>0.03</v>
      </c>
      <c r="R25" s="63">
        <f t="shared" si="2"/>
        <v>-0.97</v>
      </c>
      <c r="S25" s="50">
        <f t="shared" si="3"/>
        <v>0</v>
      </c>
      <c r="V25" s="51"/>
    </row>
    <row r="26" spans="1:22" s="50" customFormat="1" ht="30" customHeight="1" x14ac:dyDescent="0.3">
      <c r="A26" s="68"/>
      <c r="B26" s="290" t="str">
        <f>IF(A26:A37="","",IF(L$4="sys/",VLOOKUP(A26:A37,#REF!,4,FALSE)))</f>
        <v/>
      </c>
      <c r="C26" s="291"/>
      <c r="D26" s="292"/>
      <c r="E26" s="293" t="str">
        <f>IF(A26:A37="","",IF(L$4="sys/",VLOOKUP(A26:A37,#REF!,7,FALSE)))</f>
        <v/>
      </c>
      <c r="F26" s="294"/>
      <c r="G26" s="53" t="str">
        <f>IF(A26:A37="","",IF(L$4="sys/",VLOOKUP(A26:A37,#REF!,9,FALSE)))</f>
        <v/>
      </c>
      <c r="H26" s="53"/>
      <c r="I26" s="53" t="str">
        <f>IF(A26:A37="","",IF(L$4="sys/",VLOOKUP(A26:A37,#REF!,8,FALSE)))</f>
        <v/>
      </c>
      <c r="J26" s="53"/>
      <c r="K26" s="53" t="str">
        <f t="shared" si="5"/>
        <v/>
      </c>
      <c r="L26" s="81"/>
      <c r="M26" s="74"/>
      <c r="N26" s="49"/>
      <c r="P26" s="50">
        <v>29.5</v>
      </c>
      <c r="Q26" s="73">
        <v>0.03</v>
      </c>
      <c r="R26" s="63">
        <f t="shared" si="2"/>
        <v>-0.97</v>
      </c>
      <c r="S26" s="50">
        <f t="shared" si="3"/>
        <v>0</v>
      </c>
      <c r="V26" s="51"/>
    </row>
    <row r="27" spans="1:22" s="50" customFormat="1" ht="30" customHeight="1" x14ac:dyDescent="0.3">
      <c r="A27" s="68"/>
      <c r="B27" s="290" t="str">
        <f>IF(A27:A38="","",IF(L$4="sys/",VLOOKUP(A27:A38,#REF!,4,FALSE)))</f>
        <v/>
      </c>
      <c r="C27" s="291"/>
      <c r="D27" s="292"/>
      <c r="E27" s="293" t="str">
        <f>IF(A27:A38="","",IF(L$4="sys/",VLOOKUP(A27:A38,#REF!,7,FALSE)))</f>
        <v/>
      </c>
      <c r="F27" s="294"/>
      <c r="G27" s="53" t="str">
        <f>IF(A27:A38="","",IF(L$4="sys/",VLOOKUP(A27:A38,#REF!,9,FALSE)))</f>
        <v/>
      </c>
      <c r="H27" s="53"/>
      <c r="I27" s="53" t="str">
        <f>IF(A27:A38="","",IF(L$4="sys/",VLOOKUP(A27:A38,#REF!,8,FALSE)))</f>
        <v/>
      </c>
      <c r="J27" s="53"/>
      <c r="K27" s="53" t="str">
        <f t="shared" si="5"/>
        <v/>
      </c>
      <c r="L27" s="81"/>
      <c r="M27" s="74"/>
      <c r="N27" s="49"/>
      <c r="P27" s="50">
        <v>50.4</v>
      </c>
      <c r="Q27" s="73">
        <v>0.03</v>
      </c>
      <c r="R27" s="63">
        <f t="shared" si="2"/>
        <v>-0.97</v>
      </c>
      <c r="S27" s="50">
        <f t="shared" si="3"/>
        <v>0</v>
      </c>
      <c r="V27" s="51"/>
    </row>
    <row r="28" spans="1:22" s="50" customFormat="1" ht="30" customHeight="1" x14ac:dyDescent="0.3">
      <c r="A28" s="68"/>
      <c r="B28" s="290" t="str">
        <f>IF(A28:A39="","",IF(L$4="sys/",VLOOKUP(A28:A39,#REF!,4,FALSE)))</f>
        <v/>
      </c>
      <c r="C28" s="291"/>
      <c r="D28" s="292"/>
      <c r="E28" s="293" t="str">
        <f>IF(A28:A39="","",IF(L$4="sys/",VLOOKUP(A28:A39,#REF!,7,FALSE)))</f>
        <v/>
      </c>
      <c r="F28" s="294"/>
      <c r="G28" s="53" t="str">
        <f>IF(A28:A39="","",IF(L$4="sys/",VLOOKUP(A28:A39,#REF!,9,FALSE)))</f>
        <v/>
      </c>
      <c r="H28" s="53"/>
      <c r="I28" s="53" t="str">
        <f>IF(A28:A39="","",IF(L$4="sys/",VLOOKUP(A28:A39,#REF!,8,FALSE)))</f>
        <v/>
      </c>
      <c r="J28" s="53"/>
      <c r="K28" s="53" t="str">
        <f t="shared" si="5"/>
        <v/>
      </c>
      <c r="L28" s="81"/>
      <c r="M28" s="74"/>
      <c r="N28" s="49"/>
      <c r="R28" s="63"/>
      <c r="V28" s="51"/>
    </row>
    <row r="29" spans="1:22" ht="16.5" x14ac:dyDescent="0.3">
      <c r="A29" s="14" t="s">
        <v>5</v>
      </c>
      <c r="B29" s="7"/>
      <c r="C29" s="7"/>
      <c r="D29" s="7"/>
      <c r="E29" s="7"/>
      <c r="F29" s="7"/>
      <c r="G29" s="7"/>
      <c r="H29" s="7"/>
      <c r="I29" s="7"/>
      <c r="J29" s="25">
        <f>SUM(J17:J28)</f>
        <v>11000</v>
      </c>
      <c r="K29" s="25">
        <f>SUM(K17:K28)</f>
        <v>11720</v>
      </c>
      <c r="L29" s="25"/>
      <c r="M29" s="58">
        <f>SUM(M17:M28)</f>
        <v>595070</v>
      </c>
      <c r="O29" s="313" t="s">
        <v>79</v>
      </c>
      <c r="P29" s="313"/>
      <c r="Q29" s="313"/>
      <c r="R29" s="313"/>
      <c r="S29">
        <f>SUM(S17:S28)</f>
        <v>502576.4273302785</v>
      </c>
      <c r="V29" s="47">
        <f>S29/M38</f>
        <v>0.83530245372094092</v>
      </c>
    </row>
    <row r="30" spans="1:22" ht="21" x14ac:dyDescent="0.3">
      <c r="A30" s="286" t="s">
        <v>37</v>
      </c>
      <c r="B30" s="287"/>
      <c r="C30" s="271" t="s">
        <v>40</v>
      </c>
      <c r="D30" s="271"/>
      <c r="E30" s="6"/>
      <c r="F30" s="6"/>
      <c r="G30" s="6"/>
      <c r="H30" s="6"/>
      <c r="I30" s="6"/>
      <c r="J30" s="6"/>
      <c r="K30" s="295" t="s">
        <v>21</v>
      </c>
      <c r="L30" s="296"/>
      <c r="M30" s="57">
        <f>M29</f>
        <v>595070</v>
      </c>
      <c r="R30" s="46"/>
      <c r="V30" s="47"/>
    </row>
    <row r="31" spans="1:22" ht="18.75" x14ac:dyDescent="0.3">
      <c r="A31" s="286" t="s">
        <v>38</v>
      </c>
      <c r="B31" s="287"/>
      <c r="C31" s="271" t="s">
        <v>48</v>
      </c>
      <c r="D31" s="271"/>
      <c r="E31" s="6"/>
      <c r="F31" s="6"/>
      <c r="G31" s="6"/>
      <c r="H31" s="6"/>
      <c r="I31" s="6"/>
      <c r="J31" s="6"/>
      <c r="K31" s="288" t="s">
        <v>22</v>
      </c>
      <c r="L31" s="289"/>
      <c r="M31" s="56">
        <f>(R14*W13+S14*W14)/T14</f>
        <v>6600</v>
      </c>
      <c r="R31" s="47"/>
      <c r="V31" s="47"/>
    </row>
    <row r="32" spans="1:22" ht="16.5" customHeight="1" x14ac:dyDescent="0.3">
      <c r="A32" s="12" t="s">
        <v>46</v>
      </c>
      <c r="B32" s="6"/>
      <c r="C32" s="44" t="s">
        <v>28</v>
      </c>
      <c r="D32" s="6"/>
      <c r="E32" s="6"/>
      <c r="F32" s="6"/>
      <c r="G32" s="6"/>
      <c r="H32" s="6"/>
      <c r="I32" s="6"/>
      <c r="J32" s="6"/>
      <c r="K32" s="276" t="s">
        <v>26</v>
      </c>
      <c r="L32" s="277"/>
      <c r="M32" s="55">
        <v>0</v>
      </c>
      <c r="S32" s="69" t="s">
        <v>82</v>
      </c>
    </row>
    <row r="33" spans="1:19" ht="16.5" customHeight="1" x14ac:dyDescent="0.3">
      <c r="A33" s="15" t="s">
        <v>68</v>
      </c>
      <c r="B33" s="6"/>
      <c r="C33" s="6"/>
      <c r="D33" s="6"/>
      <c r="E33" s="6"/>
      <c r="F33" s="6"/>
      <c r="G33" s="6"/>
      <c r="H33" s="6"/>
      <c r="I33" s="6"/>
      <c r="J33" s="6"/>
      <c r="K33" s="276" t="s">
        <v>27</v>
      </c>
      <c r="L33" s="277"/>
      <c r="M33" s="55">
        <v>0</v>
      </c>
    </row>
    <row r="34" spans="1:19" ht="16.5" customHeight="1" x14ac:dyDescent="0.3">
      <c r="A34" s="16" t="s">
        <v>13</v>
      </c>
      <c r="B34" s="6"/>
      <c r="C34" s="6"/>
      <c r="D34" s="6"/>
      <c r="E34" s="6"/>
      <c r="F34" s="6"/>
      <c r="G34" s="6"/>
      <c r="H34" s="6"/>
      <c r="I34" s="6"/>
      <c r="J34" s="6"/>
      <c r="K34" s="6"/>
      <c r="L34" s="6"/>
      <c r="M34" s="55">
        <v>0</v>
      </c>
    </row>
    <row r="35" spans="1:19" ht="16.5" customHeight="1" x14ac:dyDescent="0.3">
      <c r="A35" s="16" t="s">
        <v>14</v>
      </c>
      <c r="B35" s="6"/>
      <c r="C35" s="6"/>
      <c r="D35" s="6"/>
      <c r="E35" s="6"/>
      <c r="F35" s="6"/>
      <c r="G35" s="6"/>
      <c r="H35" s="6"/>
      <c r="I35" s="6"/>
      <c r="J35" s="6"/>
      <c r="K35" s="6"/>
      <c r="L35" s="6"/>
      <c r="M35" s="55">
        <v>0</v>
      </c>
    </row>
    <row r="36" spans="1:19" ht="16.5" customHeight="1" x14ac:dyDescent="0.3">
      <c r="A36" s="16" t="s">
        <v>15</v>
      </c>
      <c r="B36" s="6"/>
      <c r="C36" s="6"/>
      <c r="D36" s="6"/>
      <c r="E36" s="6"/>
      <c r="F36" s="6"/>
      <c r="G36" s="6"/>
      <c r="H36" s="6"/>
      <c r="I36" s="6"/>
      <c r="J36" s="6"/>
      <c r="K36" s="6"/>
      <c r="L36" s="6"/>
      <c r="M36" s="55">
        <v>0</v>
      </c>
    </row>
    <row r="37" spans="1:19" ht="16.5" customHeight="1" x14ac:dyDescent="0.3">
      <c r="A37" s="16" t="s">
        <v>16</v>
      </c>
      <c r="B37" s="6"/>
      <c r="C37" s="6"/>
      <c r="D37" s="6"/>
      <c r="E37" s="6"/>
      <c r="F37" s="6"/>
      <c r="G37" s="6"/>
      <c r="H37" s="6"/>
      <c r="I37" s="6"/>
      <c r="J37" s="6"/>
      <c r="K37" s="6"/>
      <c r="L37" s="6"/>
      <c r="M37" s="55">
        <v>0</v>
      </c>
    </row>
    <row r="38" spans="1:19" ht="21.75" thickBot="1" x14ac:dyDescent="0.4">
      <c r="A38" s="16" t="s">
        <v>65</v>
      </c>
      <c r="B38" s="1"/>
      <c r="C38" s="1"/>
      <c r="D38" s="1"/>
      <c r="E38" s="1"/>
      <c r="F38" s="1"/>
      <c r="G38" s="1"/>
      <c r="H38" s="1"/>
      <c r="I38" s="1"/>
      <c r="J38" s="1"/>
      <c r="K38" s="278" t="s">
        <v>25</v>
      </c>
      <c r="L38" s="279"/>
      <c r="M38" s="54">
        <f>SUM(M30+M31)</f>
        <v>601670</v>
      </c>
      <c r="O38" s="72">
        <v>426655.25</v>
      </c>
    </row>
    <row r="39" spans="1:19" ht="18.75" thickBot="1" x14ac:dyDescent="0.35">
      <c r="A39" s="280" t="s">
        <v>83</v>
      </c>
      <c r="B39" s="281"/>
      <c r="C39" s="282" t="e">
        <f ca="1">SpellNumber(M38)</f>
        <v>#NAME?</v>
      </c>
      <c r="D39" s="282"/>
      <c r="E39" s="282"/>
      <c r="F39" s="282"/>
      <c r="G39" s="282"/>
      <c r="H39" s="282"/>
      <c r="I39" s="282"/>
      <c r="J39" s="283"/>
      <c r="K39" s="1"/>
      <c r="L39" s="1"/>
      <c r="M39" s="45" t="s">
        <v>51</v>
      </c>
    </row>
    <row r="40" spans="1:19" x14ac:dyDescent="0.3">
      <c r="A40" s="284"/>
      <c r="B40" s="285"/>
      <c r="C40" s="285"/>
      <c r="D40" s="285"/>
      <c r="E40" s="285"/>
      <c r="F40" s="285"/>
      <c r="G40" s="285"/>
      <c r="H40" s="285"/>
      <c r="I40" s="285"/>
      <c r="J40" s="285"/>
      <c r="K40" s="1"/>
      <c r="L40" s="1"/>
      <c r="M40" s="17"/>
    </row>
    <row r="41" spans="1:19" ht="16.5" x14ac:dyDescent="0.3">
      <c r="A41" s="18" t="s">
        <v>8</v>
      </c>
      <c r="B41" s="5"/>
      <c r="C41" s="5"/>
      <c r="D41" s="5"/>
      <c r="E41" s="5"/>
      <c r="F41" s="5"/>
      <c r="G41" s="5"/>
      <c r="H41" s="5"/>
      <c r="I41" s="5"/>
      <c r="J41" s="5"/>
      <c r="K41" s="5"/>
      <c r="L41" s="5"/>
      <c r="M41" s="19"/>
    </row>
    <row r="42" spans="1:19" x14ac:dyDescent="0.3">
      <c r="A42" s="28" t="s">
        <v>4</v>
      </c>
      <c r="B42" s="27"/>
      <c r="C42" s="27" t="s">
        <v>28</v>
      </c>
      <c r="D42" s="27"/>
      <c r="E42" s="27"/>
      <c r="F42" s="27"/>
      <c r="G42" s="1"/>
      <c r="H42" s="1"/>
      <c r="I42" s="1"/>
      <c r="J42" s="1"/>
      <c r="K42" s="1"/>
      <c r="L42" s="1"/>
      <c r="M42" s="17"/>
    </row>
    <row r="43" spans="1:19" x14ac:dyDescent="0.3">
      <c r="A43" s="28" t="s">
        <v>2</v>
      </c>
      <c r="B43" s="27"/>
      <c r="C43" s="27" t="s">
        <v>28</v>
      </c>
      <c r="D43" s="27"/>
      <c r="E43" s="27"/>
      <c r="F43" s="27"/>
      <c r="G43" s="1"/>
      <c r="H43" s="1"/>
      <c r="I43" s="1"/>
      <c r="J43" s="1"/>
      <c r="K43" s="1"/>
      <c r="L43" s="1"/>
      <c r="M43" s="17"/>
      <c r="S43" t="e">
        <f ca="1">SpellNumber(M38)</f>
        <v>#NAME?</v>
      </c>
    </row>
    <row r="44" spans="1:19" x14ac:dyDescent="0.3">
      <c r="A44" s="28" t="s">
        <v>3</v>
      </c>
      <c r="B44" s="27"/>
      <c r="C44" s="27" t="s">
        <v>29</v>
      </c>
      <c r="D44" s="27"/>
      <c r="E44" s="27"/>
      <c r="F44" s="27"/>
      <c r="G44" s="1"/>
      <c r="H44" s="1"/>
      <c r="I44" s="1"/>
      <c r="J44" s="1"/>
      <c r="K44" s="1"/>
      <c r="L44" s="1"/>
      <c r="M44" s="17"/>
    </row>
    <row r="45" spans="1:19" x14ac:dyDescent="0.3">
      <c r="A45" s="28"/>
      <c r="B45" s="27"/>
      <c r="C45" s="27"/>
      <c r="D45" s="27"/>
      <c r="E45" s="27"/>
      <c r="F45" s="27"/>
      <c r="G45" s="1"/>
      <c r="H45" s="1"/>
      <c r="I45" s="1"/>
      <c r="J45" s="1"/>
      <c r="K45" s="1"/>
      <c r="L45" s="1"/>
      <c r="M45" s="17"/>
      <c r="R45" t="e">
        <f ca="1">SpellNumber(M38)</f>
        <v>#NAME?</v>
      </c>
    </row>
    <row r="46" spans="1:19" x14ac:dyDescent="0.3">
      <c r="A46" s="29" t="s">
        <v>6</v>
      </c>
      <c r="B46" s="26"/>
      <c r="C46" s="271" t="s">
        <v>24</v>
      </c>
      <c r="D46" s="271"/>
      <c r="E46" s="271"/>
      <c r="F46" s="271"/>
      <c r="G46" s="2"/>
      <c r="H46" s="2"/>
      <c r="I46" s="2"/>
      <c r="J46" s="2"/>
      <c r="K46" s="2"/>
      <c r="L46" s="2"/>
      <c r="M46" s="17"/>
      <c r="R46" t="e">
        <f ca="1">SpellNumber(M38)</f>
        <v>#NAME?</v>
      </c>
    </row>
    <row r="47" spans="1:19" x14ac:dyDescent="0.3">
      <c r="A47" s="20"/>
      <c r="B47" s="2"/>
      <c r="C47" s="2"/>
      <c r="D47" s="2"/>
      <c r="E47" s="2"/>
      <c r="F47" s="2"/>
      <c r="G47" s="2"/>
      <c r="H47" s="2"/>
      <c r="I47" s="2"/>
      <c r="J47" s="2"/>
      <c r="K47" s="2"/>
      <c r="L47" s="2"/>
      <c r="M47" s="17"/>
      <c r="R47" t="e">
        <f ca="1">SpellNumber(M38)</f>
        <v>#NAME?</v>
      </c>
    </row>
    <row r="48" spans="1:19" ht="15" customHeight="1" x14ac:dyDescent="0.3">
      <c r="A48" s="272" t="s">
        <v>30</v>
      </c>
      <c r="B48" s="273"/>
      <c r="C48" s="273"/>
      <c r="D48" s="273"/>
      <c r="E48" s="273"/>
      <c r="F48" s="273"/>
      <c r="G48" s="273"/>
      <c r="H48" s="78"/>
      <c r="I48" s="2"/>
      <c r="J48" s="2"/>
      <c r="K48" s="2"/>
      <c r="L48" s="2"/>
      <c r="M48" s="17"/>
    </row>
    <row r="49" spans="1:13" x14ac:dyDescent="0.3">
      <c r="A49" s="272"/>
      <c r="B49" s="273"/>
      <c r="C49" s="273"/>
      <c r="D49" s="273"/>
      <c r="E49" s="273"/>
      <c r="F49" s="273"/>
      <c r="G49" s="273"/>
      <c r="H49" s="78"/>
      <c r="I49" s="2"/>
      <c r="J49" s="2"/>
      <c r="K49" s="2"/>
      <c r="L49" s="2"/>
      <c r="M49" s="17"/>
    </row>
    <row r="50" spans="1:13" x14ac:dyDescent="0.3">
      <c r="A50" s="272"/>
      <c r="B50" s="273"/>
      <c r="C50" s="273"/>
      <c r="D50" s="273"/>
      <c r="E50" s="273"/>
      <c r="F50" s="273"/>
      <c r="G50" s="273"/>
      <c r="H50" s="78"/>
      <c r="I50" s="2"/>
      <c r="J50" s="2"/>
      <c r="K50" s="2"/>
      <c r="L50" s="2"/>
      <c r="M50" s="17"/>
    </row>
    <row r="51" spans="1:13" x14ac:dyDescent="0.3">
      <c r="A51" s="21" t="s">
        <v>92</v>
      </c>
      <c r="B51" s="4"/>
      <c r="C51" s="2"/>
      <c r="D51" s="2"/>
      <c r="E51" s="2"/>
      <c r="F51" s="2"/>
      <c r="G51" s="2"/>
      <c r="H51" s="2"/>
      <c r="I51" s="2"/>
      <c r="J51" s="2"/>
      <c r="K51" s="2"/>
      <c r="L51" s="2"/>
      <c r="M51" s="17"/>
    </row>
    <row r="52" spans="1:13" ht="15.75" thickBot="1" x14ac:dyDescent="0.35">
      <c r="A52" s="274" t="s">
        <v>66</v>
      </c>
      <c r="B52" s="275"/>
      <c r="C52" s="275"/>
      <c r="D52" s="275"/>
      <c r="E52" s="24"/>
      <c r="F52" s="22"/>
      <c r="G52" s="22"/>
      <c r="H52" s="22"/>
      <c r="I52" s="22"/>
      <c r="J52" s="22"/>
      <c r="K52" s="22"/>
      <c r="L52" s="22"/>
      <c r="M52" s="23"/>
    </row>
  </sheetData>
  <mergeCells count="54">
    <mergeCell ref="K10:L10"/>
    <mergeCell ref="K11:L11"/>
    <mergeCell ref="K12:L12"/>
    <mergeCell ref="K13:L13"/>
    <mergeCell ref="B1:F1"/>
    <mergeCell ref="L2:M2"/>
    <mergeCell ref="L3:M3"/>
    <mergeCell ref="J5:K5"/>
    <mergeCell ref="L5:M5"/>
    <mergeCell ref="O13:P14"/>
    <mergeCell ref="K14:L14"/>
    <mergeCell ref="B16:D16"/>
    <mergeCell ref="E16:F16"/>
    <mergeCell ref="B17:D17"/>
    <mergeCell ref="E17:F17"/>
    <mergeCell ref="K15:L15"/>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O29:R29"/>
    <mergeCell ref="A30:B30"/>
    <mergeCell ref="C30:D30"/>
    <mergeCell ref="K30:L30"/>
    <mergeCell ref="A52:D52"/>
    <mergeCell ref="A31:B31"/>
    <mergeCell ref="C31:D31"/>
    <mergeCell ref="K31:L31"/>
    <mergeCell ref="K32:L32"/>
    <mergeCell ref="K33:L33"/>
    <mergeCell ref="K38:L38"/>
    <mergeCell ref="A39:B39"/>
    <mergeCell ref="C39:J39"/>
    <mergeCell ref="A40:J40"/>
    <mergeCell ref="C46:F46"/>
    <mergeCell ref="A48:G50"/>
  </mergeCells>
  <dataValidations count="1">
    <dataValidation type="list" allowBlank="1" showInputMessage="1" showErrorMessage="1" sqref="H17:H28" xr:uid="{00000000-0002-0000-1900-000000000000}">
      <formula1>$P$5:$P$7</formula1>
    </dataValidation>
  </dataValidations>
  <printOptions horizontalCentered="1"/>
  <pageMargins left="0.51181102362204722" right="0.51181102362204722" top="0.51181102362204722" bottom="0.51181102362204722" header="0.51181102362204722" footer="0.23622047244094491"/>
  <pageSetup scale="65" fitToHeight="0" orientation="portrait"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7">
    <pageSetUpPr fitToPage="1"/>
  </sheetPr>
  <dimension ref="A1:Y52"/>
  <sheetViews>
    <sheetView showGridLines="0" topLeftCell="A7" zoomScale="80" zoomScaleNormal="80" workbookViewId="0">
      <selection activeCell="O17" activeCellId="1" sqref="J17:J18 O17:O18"/>
    </sheetView>
  </sheetViews>
  <sheetFormatPr defaultRowHeight="15" x14ac:dyDescent="0.3"/>
  <cols>
    <col min="1" max="3" width="11.42578125" customWidth="1"/>
    <col min="4" max="4" width="13.5703125" customWidth="1"/>
    <col min="5" max="5" width="11.42578125" customWidth="1"/>
    <col min="6" max="6" width="17" customWidth="1"/>
    <col min="7" max="7" width="8.140625" bestFit="1" customWidth="1"/>
    <col min="8" max="8" width="7.7109375" bestFit="1" customWidth="1"/>
    <col min="9" max="12" width="11.42578125" customWidth="1"/>
    <col min="13" max="13" width="16.85546875" customWidth="1"/>
    <col min="14" max="14" width="10.85546875" bestFit="1" customWidth="1"/>
    <col min="15" max="15" width="9.85546875" bestFit="1" customWidth="1"/>
    <col min="18" max="18" width="11.85546875" bestFit="1" customWidth="1"/>
    <col min="22" max="22" width="13.7109375" bestFit="1" customWidth="1"/>
  </cols>
  <sheetData>
    <row r="1" spans="1:25" ht="78" customHeight="1" x14ac:dyDescent="0.45">
      <c r="A1" s="8"/>
      <c r="B1" s="306" t="s">
        <v>74</v>
      </c>
      <c r="C1" s="306"/>
      <c r="D1" s="306"/>
      <c r="E1" s="306"/>
      <c r="F1" s="306"/>
      <c r="G1" s="80"/>
      <c r="H1" s="80"/>
      <c r="I1" s="80"/>
      <c r="J1" s="80"/>
      <c r="K1" s="80"/>
      <c r="L1" s="80"/>
      <c r="M1" s="30" t="s">
        <v>7</v>
      </c>
    </row>
    <row r="2" spans="1:25" ht="16.5" x14ac:dyDescent="0.3">
      <c r="A2" s="38" t="s">
        <v>69</v>
      </c>
      <c r="B2" s="39"/>
      <c r="C2" s="39"/>
      <c r="D2" s="9"/>
      <c r="E2" s="9"/>
      <c r="F2" s="9"/>
      <c r="G2" s="9"/>
      <c r="H2" s="9"/>
      <c r="I2" s="9"/>
      <c r="J2" s="35"/>
      <c r="K2" s="36" t="s">
        <v>45</v>
      </c>
      <c r="L2" s="307" t="s">
        <v>97</v>
      </c>
      <c r="M2" s="308"/>
    </row>
    <row r="3" spans="1:25" ht="16.5" x14ac:dyDescent="0.3">
      <c r="A3" s="40" t="s">
        <v>11</v>
      </c>
      <c r="B3" s="41"/>
      <c r="C3" s="41"/>
      <c r="D3" s="10"/>
      <c r="E3" s="10"/>
      <c r="F3" s="10"/>
      <c r="G3" s="10"/>
      <c r="H3" s="10"/>
      <c r="I3" s="10"/>
      <c r="J3" s="37"/>
      <c r="K3" s="36" t="s">
        <v>44</v>
      </c>
      <c r="L3" s="307" t="s">
        <v>96</v>
      </c>
      <c r="M3" s="308"/>
    </row>
    <row r="4" spans="1:25" ht="15" customHeight="1" x14ac:dyDescent="0.3">
      <c r="A4" s="40" t="s">
        <v>12</v>
      </c>
      <c r="B4" s="41"/>
      <c r="C4" s="41"/>
      <c r="D4" s="9"/>
      <c r="E4" s="9"/>
      <c r="F4" s="9"/>
      <c r="G4" s="9"/>
      <c r="H4" s="9"/>
      <c r="I4" s="9"/>
      <c r="J4" s="35"/>
      <c r="K4" s="36" t="s">
        <v>47</v>
      </c>
      <c r="L4" s="79" t="s">
        <v>98</v>
      </c>
      <c r="M4" s="77" t="s">
        <v>100</v>
      </c>
    </row>
    <row r="5" spans="1:25" ht="16.5" x14ac:dyDescent="0.3">
      <c r="A5" s="40" t="s">
        <v>10</v>
      </c>
      <c r="B5" s="41"/>
      <c r="C5" s="41"/>
      <c r="D5" s="9"/>
      <c r="E5" s="9"/>
      <c r="F5" s="9"/>
      <c r="G5" s="9"/>
      <c r="H5" s="9"/>
      <c r="I5" s="9"/>
      <c r="J5" s="309"/>
      <c r="K5" s="309"/>
      <c r="L5" s="310"/>
      <c r="M5" s="311"/>
      <c r="P5" t="s">
        <v>105</v>
      </c>
    </row>
    <row r="6" spans="1:25" ht="16.5" x14ac:dyDescent="0.3">
      <c r="A6" s="40" t="s">
        <v>9</v>
      </c>
      <c r="B6" s="41"/>
      <c r="C6" s="41"/>
      <c r="D6" s="9"/>
      <c r="E6" s="9"/>
      <c r="F6" s="9"/>
      <c r="G6" s="9"/>
      <c r="H6" s="9"/>
      <c r="I6" s="9"/>
      <c r="J6" s="9"/>
      <c r="K6" s="9"/>
      <c r="L6" s="9"/>
      <c r="M6" s="11"/>
      <c r="P6" t="s">
        <v>106</v>
      </c>
    </row>
    <row r="7" spans="1:25" x14ac:dyDescent="0.3">
      <c r="A7" s="12"/>
      <c r="B7" s="1"/>
      <c r="C7" s="1"/>
      <c r="D7" s="9"/>
      <c r="E7" s="9"/>
      <c r="F7" s="9"/>
      <c r="G7" s="9"/>
      <c r="H7" s="9"/>
      <c r="I7" s="9"/>
      <c r="J7" s="9"/>
      <c r="K7" s="9"/>
      <c r="L7" s="9"/>
      <c r="M7" s="11"/>
      <c r="P7" t="s">
        <v>89</v>
      </c>
    </row>
    <row r="8" spans="1:25" x14ac:dyDescent="0.3">
      <c r="A8" s="12"/>
      <c r="B8" s="1"/>
      <c r="C8" s="1"/>
      <c r="D8" s="1"/>
      <c r="E8" s="1"/>
      <c r="F8" s="1"/>
      <c r="G8" s="1"/>
      <c r="H8" s="1"/>
      <c r="I8" s="1"/>
      <c r="J8" s="1"/>
      <c r="K8" s="1"/>
      <c r="L8" s="1"/>
      <c r="M8" s="11"/>
    </row>
    <row r="9" spans="1:25" ht="16.5" x14ac:dyDescent="0.3">
      <c r="A9" s="13" t="s">
        <v>1</v>
      </c>
      <c r="B9" s="3"/>
      <c r="C9" s="3"/>
      <c r="D9" s="3"/>
      <c r="E9" s="3"/>
      <c r="F9" s="3"/>
      <c r="G9" s="3"/>
      <c r="H9" s="3"/>
      <c r="I9" s="3"/>
      <c r="J9" s="3"/>
      <c r="K9" s="3"/>
      <c r="L9" s="3" t="s">
        <v>31</v>
      </c>
      <c r="M9" s="34"/>
    </row>
    <row r="10" spans="1:25" ht="16.5" x14ac:dyDescent="0.3">
      <c r="A10" s="40" t="s">
        <v>88</v>
      </c>
      <c r="B10" s="41"/>
      <c r="C10" s="41"/>
      <c r="D10" s="9"/>
      <c r="E10" s="9"/>
      <c r="F10" s="9"/>
      <c r="G10" s="9"/>
      <c r="H10" s="9"/>
      <c r="I10" s="9"/>
      <c r="J10" s="9"/>
      <c r="K10" s="299" t="s">
        <v>32</v>
      </c>
      <c r="L10" s="299"/>
      <c r="M10" s="59" t="s">
        <v>34</v>
      </c>
    </row>
    <row r="11" spans="1:25" ht="16.5" customHeight="1" x14ac:dyDescent="0.3">
      <c r="A11" s="40" t="s">
        <v>86</v>
      </c>
      <c r="B11" s="41"/>
      <c r="C11" s="41"/>
      <c r="D11" s="9"/>
      <c r="E11" s="9"/>
      <c r="F11" s="9"/>
      <c r="G11" s="9"/>
      <c r="H11" s="9"/>
      <c r="I11" s="9"/>
      <c r="J11" s="9"/>
      <c r="K11" s="299" t="s">
        <v>42</v>
      </c>
      <c r="L11" s="299"/>
      <c r="M11" s="59" t="s">
        <v>43</v>
      </c>
    </row>
    <row r="12" spans="1:25" ht="16.5" customHeight="1" x14ac:dyDescent="0.3">
      <c r="A12" s="40" t="s">
        <v>87</v>
      </c>
      <c r="B12" s="41"/>
      <c r="C12" s="41"/>
      <c r="D12" s="9"/>
      <c r="E12" s="9"/>
      <c r="F12" s="9"/>
      <c r="G12" s="9"/>
      <c r="H12" s="9"/>
      <c r="I12" s="9"/>
      <c r="J12" s="9"/>
      <c r="K12" s="299" t="s">
        <v>41</v>
      </c>
      <c r="L12" s="299"/>
      <c r="M12" s="61">
        <f xml:space="preserve"> K29</f>
        <v>6890</v>
      </c>
      <c r="W12" t="s">
        <v>80</v>
      </c>
      <c r="Y12" t="s">
        <v>36</v>
      </c>
    </row>
    <row r="13" spans="1:25" ht="16.5" customHeight="1" x14ac:dyDescent="0.3">
      <c r="A13" s="40" t="s">
        <v>85</v>
      </c>
      <c r="B13" s="41"/>
      <c r="C13" s="41"/>
      <c r="D13" s="9"/>
      <c r="E13" s="9"/>
      <c r="F13" s="9"/>
      <c r="G13" s="9"/>
      <c r="H13" s="9"/>
      <c r="I13" s="9"/>
      <c r="J13" s="9"/>
      <c r="K13" s="299" t="s">
        <v>35</v>
      </c>
      <c r="L13" s="299"/>
      <c r="M13" s="60" t="str">
        <f>IF(K29/J29=1.06,"Cartons",IF(K29/J29&gt;=1.12,"Drums","Cartons &amp; Drums"))</f>
        <v>Cartons</v>
      </c>
      <c r="O13" s="215" t="s">
        <v>77</v>
      </c>
      <c r="P13" s="215"/>
      <c r="Q13" s="75"/>
      <c r="R13" s="64" t="s">
        <v>78</v>
      </c>
      <c r="S13" s="65" t="s">
        <v>76</v>
      </c>
      <c r="T13" t="s">
        <v>95</v>
      </c>
      <c r="V13" s="51" t="s">
        <v>75</v>
      </c>
      <c r="W13" s="50">
        <v>19800</v>
      </c>
      <c r="Y13" t="s">
        <v>67</v>
      </c>
    </row>
    <row r="14" spans="1:25" ht="16.5" customHeight="1" x14ac:dyDescent="0.3">
      <c r="A14" s="42" t="s">
        <v>84</v>
      </c>
      <c r="B14" s="43"/>
      <c r="C14" s="41"/>
      <c r="D14" s="9"/>
      <c r="E14" s="9"/>
      <c r="F14" s="9"/>
      <c r="G14" s="9"/>
      <c r="H14" s="9"/>
      <c r="I14" s="9"/>
      <c r="J14" s="9"/>
      <c r="K14" s="299" t="s">
        <v>33</v>
      </c>
      <c r="L14" s="299"/>
      <c r="M14" s="60">
        <f>J29/25</f>
        <v>260</v>
      </c>
      <c r="O14" s="215"/>
      <c r="P14" s="215"/>
      <c r="Q14" s="75"/>
      <c r="R14" s="75">
        <v>1</v>
      </c>
      <c r="S14" s="66"/>
      <c r="T14">
        <v>3</v>
      </c>
      <c r="V14" s="51" t="s">
        <v>76</v>
      </c>
      <c r="W14" s="50">
        <v>15000</v>
      </c>
      <c r="Y14" t="s">
        <v>91</v>
      </c>
    </row>
    <row r="15" spans="1:25" ht="12" customHeight="1" x14ac:dyDescent="0.3">
      <c r="A15" s="12"/>
      <c r="B15" s="1"/>
      <c r="C15" s="43"/>
      <c r="D15" s="1"/>
      <c r="E15" s="1"/>
      <c r="F15" s="1"/>
      <c r="G15" s="1"/>
      <c r="H15" s="1"/>
      <c r="I15" s="1"/>
      <c r="J15" s="1"/>
      <c r="K15" s="299"/>
      <c r="L15" s="299"/>
      <c r="M15" s="59"/>
      <c r="Y15" t="s">
        <v>89</v>
      </c>
    </row>
    <row r="16" spans="1:25" ht="48.75" customHeight="1" x14ac:dyDescent="0.3">
      <c r="A16" s="31" t="s">
        <v>17</v>
      </c>
      <c r="B16" s="312" t="s">
        <v>0</v>
      </c>
      <c r="C16" s="312"/>
      <c r="D16" s="312"/>
      <c r="E16" s="312" t="s">
        <v>39</v>
      </c>
      <c r="F16" s="312"/>
      <c r="G16" s="32" t="s">
        <v>18</v>
      </c>
      <c r="H16" s="32" t="s">
        <v>104</v>
      </c>
      <c r="I16" s="32" t="s">
        <v>19</v>
      </c>
      <c r="J16" s="32" t="s">
        <v>20</v>
      </c>
      <c r="K16" s="32" t="s">
        <v>23</v>
      </c>
      <c r="L16" s="32" t="s">
        <v>49</v>
      </c>
      <c r="M16" s="33" t="s">
        <v>50</v>
      </c>
      <c r="O16" s="32" t="s">
        <v>72</v>
      </c>
      <c r="P16" s="32" t="s">
        <v>81</v>
      </c>
      <c r="Q16" s="32" t="s">
        <v>94</v>
      </c>
      <c r="R16" s="32" t="s">
        <v>93</v>
      </c>
      <c r="S16" s="32" t="s">
        <v>73</v>
      </c>
    </row>
    <row r="17" spans="1:22" s="50" customFormat="1" ht="30" customHeight="1" x14ac:dyDescent="0.3">
      <c r="A17" s="67">
        <v>2323</v>
      </c>
      <c r="B17" s="290" t="e">
        <f>IF(A17:A28="","",IF(L$4="sys/",VLOOKUP(A17:A28,#REF!,4,FALSE)))</f>
        <v>#REF!</v>
      </c>
      <c r="C17" s="291"/>
      <c r="D17" s="292"/>
      <c r="E17" s="293" t="e">
        <f>IF(A17:A28="","",IF(L$4="sys/",VLOOKUP(A17:A28,#REF!,7,FALSE)))</f>
        <v>#REF!</v>
      </c>
      <c r="F17" s="294"/>
      <c r="G17" s="53" t="e">
        <f>IF(A17:A28="","",IF(L$4="sys/",VLOOKUP(A17:A28,#REF!,9,FALSE)))</f>
        <v>#REF!</v>
      </c>
      <c r="H17" s="53" t="s">
        <v>105</v>
      </c>
      <c r="I17" s="53" t="e">
        <f>IF(A17:A28="","",IF(L$4="sys/",VLOOKUP(A17:A28,#REF!,8,FALSE)))</f>
        <v>#REF!</v>
      </c>
      <c r="J17" s="52">
        <v>1000</v>
      </c>
      <c r="K17" s="52">
        <f>IF(H17="","",IF(H17="carton",(J17*26.5/25),IF(H17="drum",J17*28/25,IF(H17="bale",0))))</f>
        <v>1060</v>
      </c>
      <c r="L17" s="82" t="str">
        <f>FIXED(O17-(M$31/J$29),2,1)</f>
        <v>92.09</v>
      </c>
      <c r="M17" s="74">
        <f>J17*L17</f>
        <v>92090</v>
      </c>
      <c r="N17" s="49"/>
      <c r="O17" s="70">
        <v>93.11</v>
      </c>
      <c r="P17" s="48">
        <v>28.5</v>
      </c>
      <c r="Q17" s="73">
        <v>0.03</v>
      </c>
      <c r="R17" s="63">
        <f t="shared" ref="R17:R27" si="0">(O17-P17)/P17+Q17</f>
        <v>2.2970175438596487</v>
      </c>
      <c r="S17" s="50">
        <f t="shared" ref="S17:S27" si="1">O17*J17*R17</f>
        <v>213875.3035087719</v>
      </c>
      <c r="U17" s="50">
        <f>O17*J17</f>
        <v>93110</v>
      </c>
    </row>
    <row r="18" spans="1:22" s="50" customFormat="1" ht="30" customHeight="1" x14ac:dyDescent="0.3">
      <c r="A18" s="68">
        <v>2592</v>
      </c>
      <c r="B18" s="290" t="e">
        <f>IF(A18:A29="","",IF(L$4="sys/",VLOOKUP(A18:A29,#REF!,4,FALSE)))</f>
        <v>#REF!</v>
      </c>
      <c r="C18" s="291"/>
      <c r="D18" s="292"/>
      <c r="E18" s="293" t="e">
        <f>IF(A18:A29="","",IF(L$4="sys/",VLOOKUP(A18:A29,#REF!,7,FALSE)))</f>
        <v>#REF!</v>
      </c>
      <c r="F18" s="294"/>
      <c r="G18" s="53" t="e">
        <f>IF(A18:A29="","",IF(L$4="sys/",VLOOKUP(A18:A29,#REF!,9,FALSE)))</f>
        <v>#REF!</v>
      </c>
      <c r="H18" s="53" t="s">
        <v>105</v>
      </c>
      <c r="I18" s="53" t="e">
        <f>IF(A18:A29="","",IF(L$4="sys/",VLOOKUP(A18:A29,#REF!,8,FALSE)))</f>
        <v>#REF!</v>
      </c>
      <c r="J18" s="53">
        <v>2000</v>
      </c>
      <c r="K18" s="53">
        <f>IF(H18="","",IF(H18="carton",(J18*26.5/25),IF(H18="drum",J18*28/25,IF(H18="bale",0))))</f>
        <v>2120</v>
      </c>
      <c r="L18" s="81" t="str">
        <f>FIXED(O18-(M$31/J$29),2,1)</f>
        <v>45.30</v>
      </c>
      <c r="M18" s="74">
        <f>J18*L18</f>
        <v>90600</v>
      </c>
      <c r="N18" s="49"/>
      <c r="O18" s="70">
        <v>46.32</v>
      </c>
      <c r="P18" s="48">
        <v>24</v>
      </c>
      <c r="Q18" s="73">
        <v>0.03</v>
      </c>
      <c r="R18" s="63">
        <f t="shared" si="0"/>
        <v>0.96000000000000008</v>
      </c>
      <c r="S18" s="50">
        <f t="shared" si="1"/>
        <v>88934.400000000009</v>
      </c>
      <c r="U18" s="50">
        <f>O18*J18</f>
        <v>92640</v>
      </c>
    </row>
    <row r="19" spans="1:22" s="50" customFormat="1" ht="30" customHeight="1" x14ac:dyDescent="0.3">
      <c r="A19" s="68">
        <v>2362</v>
      </c>
      <c r="B19" s="290" t="e">
        <f>IF(A19:A30="","",IF(L$4="sys/",VLOOKUP(A19:A30,#REF!,4,FALSE)))</f>
        <v>#REF!</v>
      </c>
      <c r="C19" s="291"/>
      <c r="D19" s="292"/>
      <c r="E19" s="293" t="e">
        <f>IF(A19:A30="","",IF(L$4="sys/",VLOOKUP(A19:A30,#REF!,7,FALSE)))</f>
        <v>#REF!</v>
      </c>
      <c r="F19" s="294"/>
      <c r="G19" s="53" t="e">
        <f>IF(A19:A30="","",IF(L$4="sys/",VLOOKUP(A19:A30,#REF!,9,FALSE)))</f>
        <v>#REF!</v>
      </c>
      <c r="H19" s="53" t="s">
        <v>105</v>
      </c>
      <c r="I19" s="53" t="e">
        <f>IF(A19:A30="","",IF(L$4="sys/",VLOOKUP(A19:A30,#REF!,8,FALSE)))</f>
        <v>#REF!</v>
      </c>
      <c r="J19" s="53">
        <v>1500</v>
      </c>
      <c r="K19" s="53">
        <f>IF(H19="","",IF(H19="carton",(J19*26.5/25),IF(H19="drum",J19*28/25,IF(H19="bale",0))))</f>
        <v>1590</v>
      </c>
      <c r="L19" s="81" t="str">
        <f>FIXED(O19-(M$31/J$29),2,1)</f>
        <v>41.38</v>
      </c>
      <c r="M19" s="74">
        <f>J19*L19</f>
        <v>62070.000000000007</v>
      </c>
      <c r="N19" s="49"/>
      <c r="O19" s="70">
        <v>42.4</v>
      </c>
      <c r="P19" s="48">
        <v>34</v>
      </c>
      <c r="Q19" s="73">
        <v>0.03</v>
      </c>
      <c r="R19" s="63">
        <f t="shared" si="0"/>
        <v>0.27705882352941169</v>
      </c>
      <c r="S19" s="50">
        <f t="shared" si="1"/>
        <v>17620.941176470584</v>
      </c>
      <c r="U19" s="50">
        <f>O19*J19</f>
        <v>63600</v>
      </c>
      <c r="V19" s="51"/>
    </row>
    <row r="20" spans="1:22" s="50" customFormat="1" ht="30" customHeight="1" x14ac:dyDescent="0.3">
      <c r="A20" s="68">
        <v>2652</v>
      </c>
      <c r="B20" s="290" t="e">
        <f>IF(A20:A31="","",IF(L$4="sys/",VLOOKUP(A20:A31,#REF!,4,FALSE)))</f>
        <v>#REF!</v>
      </c>
      <c r="C20" s="291"/>
      <c r="D20" s="292"/>
      <c r="E20" s="293" t="e">
        <f>IF(A20:A31="","",IF(L$4="sys/",VLOOKUP(A20:A31,#REF!,7,FALSE)))</f>
        <v>#REF!</v>
      </c>
      <c r="F20" s="294"/>
      <c r="G20" s="53" t="e">
        <f>IF(A20:A31="","",IF(L$4="sys/",VLOOKUP(A20:A31,#REF!,9,FALSE)))</f>
        <v>#REF!</v>
      </c>
      <c r="H20" s="53" t="s">
        <v>105</v>
      </c>
      <c r="I20" s="53" t="e">
        <f>IF(A20:A31="","",IF(L$4="sys/",VLOOKUP(A20:A31,#REF!,8,FALSE)))</f>
        <v>#REF!</v>
      </c>
      <c r="J20" s="53">
        <v>2000</v>
      </c>
      <c r="K20" s="53">
        <f>IF(H20="","",IF(H20="carton",(J20*26.5/25),IF(H20="drum",J20*28/25,IF(H20="bale",0))))</f>
        <v>2120</v>
      </c>
      <c r="L20" s="81" t="str">
        <f>FIXED(O20-(M$31/J$29),2,1)</f>
        <v>148.25</v>
      </c>
      <c r="M20" s="74">
        <f>J20*L20</f>
        <v>296500</v>
      </c>
      <c r="N20" s="49"/>
      <c r="O20" s="70">
        <v>149.27000000000001</v>
      </c>
      <c r="P20" s="48">
        <v>36.5</v>
      </c>
      <c r="Q20" s="73">
        <v>0.03</v>
      </c>
      <c r="R20" s="63">
        <f t="shared" si="0"/>
        <v>3.1195890410958906</v>
      </c>
      <c r="S20" s="50">
        <f t="shared" si="1"/>
        <v>931322.11232876719</v>
      </c>
      <c r="U20" s="50">
        <f>O20*J20</f>
        <v>298540</v>
      </c>
    </row>
    <row r="21" spans="1:22" s="50" customFormat="1" ht="30" customHeight="1" x14ac:dyDescent="0.3">
      <c r="A21" s="68"/>
      <c r="B21" s="290" t="str">
        <f>IF(A21:A32="","",IF(L$4="sys/",VLOOKUP(A21:A32,#REF!,4,FALSE)))</f>
        <v/>
      </c>
      <c r="C21" s="291"/>
      <c r="D21" s="292"/>
      <c r="E21" s="293" t="str">
        <f>IF(A21:A32="","",IF(L$4="sys/",VLOOKUP(A21:A32,#REF!,7,FALSE)))</f>
        <v/>
      </c>
      <c r="F21" s="294"/>
      <c r="G21" s="53" t="str">
        <f>IF(A21:A32="","",IF(L$4="sys/",VLOOKUP(A21:A32,#REF!,9,FALSE)))</f>
        <v/>
      </c>
      <c r="H21" s="53"/>
      <c r="I21" s="53" t="str">
        <f>IF(A21:A32="","",IF(L$4="sys/",VLOOKUP(A21:A32,#REF!,8,FALSE)))</f>
        <v/>
      </c>
      <c r="J21" s="53"/>
      <c r="K21" s="53"/>
      <c r="L21" s="81"/>
      <c r="M21" s="74"/>
      <c r="N21" s="49"/>
      <c r="O21" s="70"/>
      <c r="P21" s="48">
        <v>38</v>
      </c>
      <c r="Q21" s="73">
        <v>0.03</v>
      </c>
      <c r="R21" s="63">
        <f t="shared" si="0"/>
        <v>-0.97</v>
      </c>
      <c r="S21" s="50">
        <f t="shared" si="1"/>
        <v>0</v>
      </c>
      <c r="V21" s="51"/>
    </row>
    <row r="22" spans="1:22" s="50" customFormat="1" ht="30" customHeight="1" x14ac:dyDescent="0.3">
      <c r="A22" s="68"/>
      <c r="B22" s="290" t="str">
        <f>IF(A22:A33="","",IF(L$4="sys/",VLOOKUP(A22:A33,#REF!,4,FALSE)))</f>
        <v/>
      </c>
      <c r="C22" s="291"/>
      <c r="D22" s="292"/>
      <c r="E22" s="293" t="str">
        <f>IF(A22:A33="","",IF(L$4="sys/",VLOOKUP(A22:A33,#REF!,7,FALSE)))</f>
        <v/>
      </c>
      <c r="F22" s="294"/>
      <c r="G22" s="53" t="str">
        <f>IF(A22:A33="","",IF(L$4="sys/",VLOOKUP(A22:A33,#REF!,9,FALSE)))</f>
        <v/>
      </c>
      <c r="H22" s="53"/>
      <c r="I22" s="53" t="str">
        <f>IF(A22:A33="","",IF(L$4="sys/",VLOOKUP(A22:A33,#REF!,8,FALSE)))</f>
        <v/>
      </c>
      <c r="J22" s="53"/>
      <c r="K22" s="53"/>
      <c r="L22" s="81"/>
      <c r="M22" s="74"/>
      <c r="N22" s="49"/>
      <c r="O22" s="70"/>
      <c r="P22" s="48">
        <v>31.5</v>
      </c>
      <c r="Q22" s="73">
        <v>0.03</v>
      </c>
      <c r="R22" s="63">
        <f t="shared" si="0"/>
        <v>-0.97</v>
      </c>
      <c r="S22" s="50">
        <f t="shared" si="1"/>
        <v>0</v>
      </c>
      <c r="V22" s="51">
        <f>M38*5.5%</f>
        <v>30132.3</v>
      </c>
    </row>
    <row r="23" spans="1:22" s="50" customFormat="1" ht="30" customHeight="1" x14ac:dyDescent="0.3">
      <c r="A23" s="68"/>
      <c r="B23" s="290" t="str">
        <f>IF(A23:A34="","",IF(L$4="sys/",VLOOKUP(A23:A34,#REF!,4,FALSE)))</f>
        <v/>
      </c>
      <c r="C23" s="291"/>
      <c r="D23" s="292"/>
      <c r="E23" s="293" t="str">
        <f>IF(A23:A34="","",IF(L$4="sys/",VLOOKUP(A23:A34,#REF!,7,FALSE)))</f>
        <v/>
      </c>
      <c r="F23" s="294"/>
      <c r="G23" s="53" t="str">
        <f>IF(A23:A34="","",IF(L$4="sys/",VLOOKUP(A23:A34,#REF!,9,FALSE)))</f>
        <v/>
      </c>
      <c r="H23" s="53"/>
      <c r="I23" s="53" t="str">
        <f>IF(A23:A34="","",IF(L$4="sys/",VLOOKUP(A23:A34,#REF!,8,FALSE)))</f>
        <v/>
      </c>
      <c r="J23" s="53"/>
      <c r="K23" s="53"/>
      <c r="L23" s="81"/>
      <c r="M23" s="74"/>
      <c r="N23" s="49"/>
      <c r="P23" s="50">
        <v>90.5</v>
      </c>
      <c r="Q23" s="73">
        <v>0.03</v>
      </c>
      <c r="R23" s="63">
        <f t="shared" si="0"/>
        <v>-0.97</v>
      </c>
      <c r="S23" s="50">
        <f t="shared" si="1"/>
        <v>0</v>
      </c>
      <c r="V23" s="51">
        <f>S29-V22</f>
        <v>1221620.4570140096</v>
      </c>
    </row>
    <row r="24" spans="1:22" s="50" customFormat="1" ht="30" customHeight="1" x14ac:dyDescent="0.3">
      <c r="A24" s="68"/>
      <c r="B24" s="290" t="str">
        <f>IF(A24:A35="","",IF(L$4="sys/",VLOOKUP(A24:A35,#REF!,4,FALSE)))</f>
        <v/>
      </c>
      <c r="C24" s="291"/>
      <c r="D24" s="292"/>
      <c r="E24" s="293" t="str">
        <f>IF(A24:A35="","",IF(L$4="sys/",VLOOKUP(A24:A35,#REF!,7,FALSE)))</f>
        <v/>
      </c>
      <c r="F24" s="294"/>
      <c r="G24" s="53" t="str">
        <f>IF(A24:A35="","",IF(L$4="sys/",VLOOKUP(A24:A35,#REF!,9,FALSE)))</f>
        <v/>
      </c>
      <c r="H24" s="53"/>
      <c r="I24" s="53" t="str">
        <f>IF(A24:A35="","",IF(L$4="sys/",VLOOKUP(A24:A35,#REF!,8,FALSE)))</f>
        <v/>
      </c>
      <c r="J24" s="53"/>
      <c r="K24" s="53"/>
      <c r="L24" s="81"/>
      <c r="M24" s="74"/>
      <c r="N24" s="49"/>
      <c r="P24" s="50">
        <v>75</v>
      </c>
      <c r="Q24" s="73">
        <v>0.03</v>
      </c>
      <c r="R24" s="63">
        <f t="shared" si="0"/>
        <v>-0.97</v>
      </c>
      <c r="S24" s="50">
        <f t="shared" si="1"/>
        <v>0</v>
      </c>
      <c r="V24" s="51"/>
    </row>
    <row r="25" spans="1:22" s="50" customFormat="1" ht="30" customHeight="1" x14ac:dyDescent="0.3">
      <c r="A25" s="68"/>
      <c r="B25" s="290" t="str">
        <f>IF(A25:A36="","",IF(L$4="sys/",VLOOKUP(A25:A36,#REF!,4,FALSE)))</f>
        <v/>
      </c>
      <c r="C25" s="291"/>
      <c r="D25" s="292"/>
      <c r="E25" s="293" t="str">
        <f>IF(A25:A36="","",IF(L$4="sys/",VLOOKUP(A25:A36,#REF!,7,FALSE)))</f>
        <v/>
      </c>
      <c r="F25" s="294"/>
      <c r="G25" s="53" t="str">
        <f>IF(A25:A36="","",IF(L$4="sys/",VLOOKUP(A25:A36,#REF!,9,FALSE)))</f>
        <v/>
      </c>
      <c r="H25" s="53"/>
      <c r="I25" s="53" t="str">
        <f>IF(A25:A36="","",IF(L$4="sys/",VLOOKUP(A25:A36,#REF!,8,FALSE)))</f>
        <v/>
      </c>
      <c r="J25" s="53"/>
      <c r="K25" s="53"/>
      <c r="L25" s="81"/>
      <c r="M25" s="74"/>
      <c r="N25" s="49"/>
      <c r="P25" s="50">
        <v>33.200000000000003</v>
      </c>
      <c r="Q25" s="73">
        <v>0.03</v>
      </c>
      <c r="R25" s="63">
        <f t="shared" si="0"/>
        <v>-0.97</v>
      </c>
      <c r="S25" s="50">
        <f t="shared" si="1"/>
        <v>0</v>
      </c>
      <c r="V25" s="51"/>
    </row>
    <row r="26" spans="1:22" s="50" customFormat="1" ht="30" customHeight="1" x14ac:dyDescent="0.3">
      <c r="A26" s="68"/>
      <c r="B26" s="290" t="str">
        <f>IF(A26:A37="","",IF(L$4="sys/",VLOOKUP(A26:A37,#REF!,4,FALSE)))</f>
        <v/>
      </c>
      <c r="C26" s="291"/>
      <c r="D26" s="292"/>
      <c r="E26" s="293" t="str">
        <f>IF(A26:A37="","",IF(L$4="sys/",VLOOKUP(A26:A37,#REF!,7,FALSE)))</f>
        <v/>
      </c>
      <c r="F26" s="294"/>
      <c r="G26" s="53" t="str">
        <f>IF(A26:A37="","",IF(L$4="sys/",VLOOKUP(A26:A37,#REF!,9,FALSE)))</f>
        <v/>
      </c>
      <c r="H26" s="53"/>
      <c r="I26" s="53" t="str">
        <f>IF(A26:A37="","",IF(L$4="sys/",VLOOKUP(A26:A37,#REF!,8,FALSE)))</f>
        <v/>
      </c>
      <c r="J26" s="53"/>
      <c r="K26" s="53"/>
      <c r="L26" s="81"/>
      <c r="M26" s="74"/>
      <c r="N26" s="49"/>
      <c r="P26" s="50">
        <v>29.5</v>
      </c>
      <c r="Q26" s="73">
        <v>0.03</v>
      </c>
      <c r="R26" s="63">
        <f t="shared" si="0"/>
        <v>-0.97</v>
      </c>
      <c r="S26" s="50">
        <f t="shared" si="1"/>
        <v>0</v>
      </c>
      <c r="V26" s="51"/>
    </row>
    <row r="27" spans="1:22" s="50" customFormat="1" ht="30" customHeight="1" x14ac:dyDescent="0.3">
      <c r="A27" s="68"/>
      <c r="B27" s="290" t="str">
        <f>IF(A27:A38="","",IF(L$4="sys/",VLOOKUP(A27:A38,#REF!,4,FALSE)))</f>
        <v/>
      </c>
      <c r="C27" s="291"/>
      <c r="D27" s="292"/>
      <c r="E27" s="293" t="str">
        <f>IF(A27:A38="","",IF(L$4="sys/",VLOOKUP(A27:A38,#REF!,7,FALSE)))</f>
        <v/>
      </c>
      <c r="F27" s="294"/>
      <c r="G27" s="53" t="str">
        <f>IF(A27:A38="","",IF(L$4="sys/",VLOOKUP(A27:A38,#REF!,9,FALSE)))</f>
        <v/>
      </c>
      <c r="H27" s="53"/>
      <c r="I27" s="53" t="str">
        <f>IF(A27:A38="","",IF(L$4="sys/",VLOOKUP(A27:A38,#REF!,8,FALSE)))</f>
        <v/>
      </c>
      <c r="J27" s="53"/>
      <c r="K27" s="53"/>
      <c r="L27" s="81"/>
      <c r="M27" s="74"/>
      <c r="N27" s="49"/>
      <c r="P27" s="50">
        <v>50.4</v>
      </c>
      <c r="Q27" s="73">
        <v>0.03</v>
      </c>
      <c r="R27" s="63">
        <f t="shared" si="0"/>
        <v>-0.97</v>
      </c>
      <c r="S27" s="50">
        <f t="shared" si="1"/>
        <v>0</v>
      </c>
      <c r="V27" s="51"/>
    </row>
    <row r="28" spans="1:22" s="50" customFormat="1" ht="30" customHeight="1" x14ac:dyDescent="0.3">
      <c r="A28" s="68"/>
      <c r="B28" s="290" t="str">
        <f>IF(A28:A39="","",IF(L$4="sys/",VLOOKUP(A28:A39,#REF!,4,FALSE)))</f>
        <v/>
      </c>
      <c r="C28" s="291"/>
      <c r="D28" s="292"/>
      <c r="E28" s="293" t="str">
        <f>IF(A28:A39="","",IF(L$4="sys/",VLOOKUP(A28:A39,#REF!,7,FALSE)))</f>
        <v/>
      </c>
      <c r="F28" s="294"/>
      <c r="G28" s="53" t="str">
        <f>IF(A28:A39="","",IF(L$4="sys/",VLOOKUP(A28:A39,#REF!,9,FALSE)))</f>
        <v/>
      </c>
      <c r="H28" s="53"/>
      <c r="I28" s="53" t="str">
        <f>IF(A28:A39="","",IF(L$4="sys/",VLOOKUP(A28:A39,#REF!,8,FALSE)))</f>
        <v/>
      </c>
      <c r="J28" s="53"/>
      <c r="K28" s="53"/>
      <c r="L28" s="81"/>
      <c r="M28" s="74"/>
      <c r="N28" s="49"/>
      <c r="R28" s="63"/>
      <c r="V28" s="51"/>
    </row>
    <row r="29" spans="1:22" ht="16.5" x14ac:dyDescent="0.3">
      <c r="A29" s="14" t="s">
        <v>5</v>
      </c>
      <c r="B29" s="7"/>
      <c r="C29" s="7"/>
      <c r="D29" s="7"/>
      <c r="E29" s="7"/>
      <c r="F29" s="7"/>
      <c r="G29" s="7"/>
      <c r="H29" s="7"/>
      <c r="I29" s="7"/>
      <c r="J29" s="25">
        <f>SUM(J17:J28)</f>
        <v>6500</v>
      </c>
      <c r="K29" s="25">
        <f>SUM(K17:K28)</f>
        <v>6890</v>
      </c>
      <c r="L29" s="25"/>
      <c r="M29" s="58">
        <f>SUM(M17:M28)</f>
        <v>541260</v>
      </c>
      <c r="O29" s="313" t="s">
        <v>79</v>
      </c>
      <c r="P29" s="313"/>
      <c r="Q29" s="313"/>
      <c r="R29" s="313"/>
      <c r="S29">
        <f>SUM(S17:S28)</f>
        <v>1251752.7570140096</v>
      </c>
      <c r="V29" s="47">
        <f>S29/M38</f>
        <v>2.2848040685832323</v>
      </c>
    </row>
    <row r="30" spans="1:22" ht="21" x14ac:dyDescent="0.3">
      <c r="A30" s="286" t="s">
        <v>37</v>
      </c>
      <c r="B30" s="287"/>
      <c r="C30" s="271" t="s">
        <v>40</v>
      </c>
      <c r="D30" s="271"/>
      <c r="E30" s="6"/>
      <c r="F30" s="6"/>
      <c r="G30" s="6"/>
      <c r="H30" s="6"/>
      <c r="I30" s="6"/>
      <c r="J30" s="6"/>
      <c r="K30" s="295" t="s">
        <v>21</v>
      </c>
      <c r="L30" s="296"/>
      <c r="M30" s="57">
        <f>M29</f>
        <v>541260</v>
      </c>
      <c r="R30" s="46"/>
      <c r="V30" s="47"/>
    </row>
    <row r="31" spans="1:22" ht="18.75" x14ac:dyDescent="0.3">
      <c r="A31" s="286" t="s">
        <v>38</v>
      </c>
      <c r="B31" s="287"/>
      <c r="C31" s="271" t="s">
        <v>48</v>
      </c>
      <c r="D31" s="271"/>
      <c r="E31" s="6"/>
      <c r="F31" s="6"/>
      <c r="G31" s="6"/>
      <c r="H31" s="6"/>
      <c r="I31" s="6"/>
      <c r="J31" s="6"/>
      <c r="K31" s="288" t="s">
        <v>22</v>
      </c>
      <c r="L31" s="289"/>
      <c r="M31" s="56">
        <f>(R14*W13+S14*W14)/T14</f>
        <v>6600</v>
      </c>
      <c r="R31" s="47"/>
      <c r="V31" s="47"/>
    </row>
    <row r="32" spans="1:22" ht="16.5" customHeight="1" x14ac:dyDescent="0.3">
      <c r="A32" s="12" t="s">
        <v>46</v>
      </c>
      <c r="B32" s="6"/>
      <c r="C32" s="44" t="s">
        <v>28</v>
      </c>
      <c r="D32" s="6"/>
      <c r="E32" s="6"/>
      <c r="F32" s="6"/>
      <c r="G32" s="6"/>
      <c r="H32" s="6"/>
      <c r="I32" s="6"/>
      <c r="J32" s="6"/>
      <c r="K32" s="276" t="s">
        <v>26</v>
      </c>
      <c r="L32" s="277"/>
      <c r="M32" s="55">
        <v>0</v>
      </c>
      <c r="S32" s="69" t="s">
        <v>82</v>
      </c>
    </row>
    <row r="33" spans="1:19" ht="16.5" customHeight="1" x14ac:dyDescent="0.3">
      <c r="A33" s="15" t="s">
        <v>68</v>
      </c>
      <c r="B33" s="6"/>
      <c r="C33" s="6"/>
      <c r="D33" s="6"/>
      <c r="E33" s="6"/>
      <c r="F33" s="6"/>
      <c r="G33" s="6"/>
      <c r="H33" s="6"/>
      <c r="I33" s="6"/>
      <c r="J33" s="6"/>
      <c r="K33" s="276" t="s">
        <v>27</v>
      </c>
      <c r="L33" s="277"/>
      <c r="M33" s="55">
        <v>0</v>
      </c>
    </row>
    <row r="34" spans="1:19" ht="16.5" customHeight="1" x14ac:dyDescent="0.3">
      <c r="A34" s="16" t="s">
        <v>13</v>
      </c>
      <c r="B34" s="6"/>
      <c r="C34" s="6"/>
      <c r="D34" s="6"/>
      <c r="E34" s="6"/>
      <c r="F34" s="6"/>
      <c r="G34" s="6"/>
      <c r="H34" s="6"/>
      <c r="I34" s="6"/>
      <c r="J34" s="6"/>
      <c r="K34" s="6"/>
      <c r="L34" s="6"/>
      <c r="M34" s="55">
        <v>0</v>
      </c>
    </row>
    <row r="35" spans="1:19" ht="16.5" customHeight="1" x14ac:dyDescent="0.3">
      <c r="A35" s="16" t="s">
        <v>14</v>
      </c>
      <c r="B35" s="6"/>
      <c r="C35" s="6"/>
      <c r="D35" s="6"/>
      <c r="E35" s="6"/>
      <c r="F35" s="6"/>
      <c r="G35" s="6"/>
      <c r="H35" s="6"/>
      <c r="I35" s="6"/>
      <c r="J35" s="6"/>
      <c r="K35" s="6"/>
      <c r="L35" s="6"/>
      <c r="M35" s="55">
        <v>0</v>
      </c>
    </row>
    <row r="36" spans="1:19" ht="16.5" customHeight="1" x14ac:dyDescent="0.3">
      <c r="A36" s="16" t="s">
        <v>15</v>
      </c>
      <c r="B36" s="6"/>
      <c r="C36" s="6"/>
      <c r="D36" s="6"/>
      <c r="E36" s="6"/>
      <c r="F36" s="6"/>
      <c r="G36" s="6"/>
      <c r="H36" s="6"/>
      <c r="I36" s="6"/>
      <c r="J36" s="6"/>
      <c r="K36" s="6"/>
      <c r="L36" s="6"/>
      <c r="M36" s="55">
        <v>0</v>
      </c>
    </row>
    <row r="37" spans="1:19" ht="16.5" customHeight="1" x14ac:dyDescent="0.3">
      <c r="A37" s="16" t="s">
        <v>16</v>
      </c>
      <c r="B37" s="6"/>
      <c r="C37" s="6"/>
      <c r="D37" s="6"/>
      <c r="E37" s="6"/>
      <c r="F37" s="6"/>
      <c r="G37" s="6"/>
      <c r="H37" s="6"/>
      <c r="I37" s="6"/>
      <c r="J37" s="6"/>
      <c r="K37" s="6"/>
      <c r="L37" s="6"/>
      <c r="M37" s="55">
        <v>0</v>
      </c>
    </row>
    <row r="38" spans="1:19" ht="21.75" thickBot="1" x14ac:dyDescent="0.4">
      <c r="A38" s="16" t="s">
        <v>65</v>
      </c>
      <c r="B38" s="1"/>
      <c r="C38" s="1"/>
      <c r="D38" s="1"/>
      <c r="E38" s="1"/>
      <c r="F38" s="1"/>
      <c r="G38" s="1"/>
      <c r="H38" s="1"/>
      <c r="I38" s="1"/>
      <c r="J38" s="1"/>
      <c r="K38" s="278" t="s">
        <v>25</v>
      </c>
      <c r="L38" s="279"/>
      <c r="M38" s="54">
        <f>SUM(M30+M31)</f>
        <v>547860</v>
      </c>
      <c r="O38" s="72">
        <v>426655.25</v>
      </c>
    </row>
    <row r="39" spans="1:19" ht="18.75" thickBot="1" x14ac:dyDescent="0.35">
      <c r="A39" s="280" t="s">
        <v>83</v>
      </c>
      <c r="B39" s="281"/>
      <c r="C39" s="282" t="e">
        <f ca="1">SpellNumber(M38)</f>
        <v>#NAME?</v>
      </c>
      <c r="D39" s="282"/>
      <c r="E39" s="282"/>
      <c r="F39" s="282"/>
      <c r="G39" s="282"/>
      <c r="H39" s="282"/>
      <c r="I39" s="282"/>
      <c r="J39" s="283"/>
      <c r="K39" s="1"/>
      <c r="L39" s="1"/>
      <c r="M39" s="45" t="s">
        <v>51</v>
      </c>
    </row>
    <row r="40" spans="1:19" x14ac:dyDescent="0.3">
      <c r="A40" s="284"/>
      <c r="B40" s="285"/>
      <c r="C40" s="285"/>
      <c r="D40" s="285"/>
      <c r="E40" s="285"/>
      <c r="F40" s="285"/>
      <c r="G40" s="285"/>
      <c r="H40" s="285"/>
      <c r="I40" s="285"/>
      <c r="J40" s="285"/>
      <c r="K40" s="1"/>
      <c r="L40" s="1"/>
      <c r="M40" s="17"/>
    </row>
    <row r="41" spans="1:19" ht="16.5" x14ac:dyDescent="0.3">
      <c r="A41" s="18" t="s">
        <v>8</v>
      </c>
      <c r="B41" s="5"/>
      <c r="C41" s="5"/>
      <c r="D41" s="5"/>
      <c r="E41" s="5"/>
      <c r="F41" s="5"/>
      <c r="G41" s="5"/>
      <c r="H41" s="5"/>
      <c r="I41" s="5"/>
      <c r="J41" s="5"/>
      <c r="K41" s="5"/>
      <c r="L41" s="5"/>
      <c r="M41" s="19"/>
    </row>
    <row r="42" spans="1:19" x14ac:dyDescent="0.3">
      <c r="A42" s="28" t="s">
        <v>4</v>
      </c>
      <c r="B42" s="27"/>
      <c r="C42" s="27" t="s">
        <v>28</v>
      </c>
      <c r="D42" s="27"/>
      <c r="E42" s="27"/>
      <c r="F42" s="27"/>
      <c r="G42" s="1"/>
      <c r="H42" s="1"/>
      <c r="I42" s="1"/>
      <c r="J42" s="1"/>
      <c r="K42" s="1"/>
      <c r="L42" s="1"/>
      <c r="M42" s="17"/>
    </row>
    <row r="43" spans="1:19" x14ac:dyDescent="0.3">
      <c r="A43" s="28" t="s">
        <v>2</v>
      </c>
      <c r="B43" s="27"/>
      <c r="C43" s="27" t="s">
        <v>28</v>
      </c>
      <c r="D43" s="27"/>
      <c r="E43" s="27"/>
      <c r="F43" s="27"/>
      <c r="G43" s="1"/>
      <c r="H43" s="1"/>
      <c r="I43" s="1"/>
      <c r="J43" s="1"/>
      <c r="K43" s="1"/>
      <c r="L43" s="1"/>
      <c r="M43" s="17"/>
      <c r="S43" t="e">
        <f ca="1">SpellNumber(M38)</f>
        <v>#NAME?</v>
      </c>
    </row>
    <row r="44" spans="1:19" x14ac:dyDescent="0.3">
      <c r="A44" s="28" t="s">
        <v>3</v>
      </c>
      <c r="B44" s="27"/>
      <c r="C44" s="27" t="s">
        <v>29</v>
      </c>
      <c r="D44" s="27"/>
      <c r="E44" s="27"/>
      <c r="F44" s="27"/>
      <c r="G44" s="1"/>
      <c r="H44" s="1"/>
      <c r="I44" s="1"/>
      <c r="J44" s="1"/>
      <c r="K44" s="1"/>
      <c r="L44" s="1"/>
      <c r="M44" s="17"/>
    </row>
    <row r="45" spans="1:19" x14ac:dyDescent="0.3">
      <c r="A45" s="28"/>
      <c r="B45" s="27"/>
      <c r="C45" s="27"/>
      <c r="D45" s="27"/>
      <c r="E45" s="27"/>
      <c r="F45" s="27"/>
      <c r="G45" s="1"/>
      <c r="H45" s="1"/>
      <c r="I45" s="1"/>
      <c r="J45" s="1"/>
      <c r="K45" s="1"/>
      <c r="L45" s="1"/>
      <c r="M45" s="17"/>
      <c r="R45" t="e">
        <f ca="1">SpellNumber(M38)</f>
        <v>#NAME?</v>
      </c>
    </row>
    <row r="46" spans="1:19" x14ac:dyDescent="0.3">
      <c r="A46" s="29" t="s">
        <v>6</v>
      </c>
      <c r="B46" s="26"/>
      <c r="C46" s="271" t="s">
        <v>24</v>
      </c>
      <c r="D46" s="271"/>
      <c r="E46" s="271"/>
      <c r="F46" s="271"/>
      <c r="G46" s="2"/>
      <c r="H46" s="2"/>
      <c r="I46" s="2"/>
      <c r="J46" s="2"/>
      <c r="K46" s="2"/>
      <c r="L46" s="2"/>
      <c r="M46" s="17"/>
      <c r="R46" t="e">
        <f ca="1">SpellNumber(M38)</f>
        <v>#NAME?</v>
      </c>
    </row>
    <row r="47" spans="1:19" x14ac:dyDescent="0.3">
      <c r="A47" s="20"/>
      <c r="B47" s="2"/>
      <c r="C47" s="2"/>
      <c r="D47" s="2"/>
      <c r="E47" s="2"/>
      <c r="F47" s="2"/>
      <c r="G47" s="2"/>
      <c r="H47" s="2"/>
      <c r="I47" s="2"/>
      <c r="J47" s="2"/>
      <c r="K47" s="2"/>
      <c r="L47" s="2"/>
      <c r="M47" s="17"/>
      <c r="R47" t="e">
        <f ca="1">SpellNumber(M38)</f>
        <v>#NAME?</v>
      </c>
    </row>
    <row r="48" spans="1:19" ht="15" customHeight="1" x14ac:dyDescent="0.3">
      <c r="A48" s="272" t="s">
        <v>30</v>
      </c>
      <c r="B48" s="273"/>
      <c r="C48" s="273"/>
      <c r="D48" s="273"/>
      <c r="E48" s="273"/>
      <c r="F48" s="273"/>
      <c r="G48" s="273"/>
      <c r="H48" s="78"/>
      <c r="I48" s="2"/>
      <c r="J48" s="2"/>
      <c r="K48" s="2"/>
      <c r="L48" s="2"/>
      <c r="M48" s="17"/>
    </row>
    <row r="49" spans="1:13" x14ac:dyDescent="0.3">
      <c r="A49" s="272"/>
      <c r="B49" s="273"/>
      <c r="C49" s="273"/>
      <c r="D49" s="273"/>
      <c r="E49" s="273"/>
      <c r="F49" s="273"/>
      <c r="G49" s="273"/>
      <c r="H49" s="78"/>
      <c r="I49" s="2"/>
      <c r="J49" s="2"/>
      <c r="K49" s="2"/>
      <c r="L49" s="2"/>
      <c r="M49" s="17"/>
    </row>
    <row r="50" spans="1:13" x14ac:dyDescent="0.3">
      <c r="A50" s="272"/>
      <c r="B50" s="273"/>
      <c r="C50" s="273"/>
      <c r="D50" s="273"/>
      <c r="E50" s="273"/>
      <c r="F50" s="273"/>
      <c r="G50" s="273"/>
      <c r="H50" s="78"/>
      <c r="I50" s="2"/>
      <c r="J50" s="2"/>
      <c r="K50" s="2"/>
      <c r="L50" s="2"/>
      <c r="M50" s="17"/>
    </row>
    <row r="51" spans="1:13" x14ac:dyDescent="0.3">
      <c r="A51" s="21" t="s">
        <v>92</v>
      </c>
      <c r="B51" s="4"/>
      <c r="C51" s="2"/>
      <c r="D51" s="2"/>
      <c r="E51" s="2"/>
      <c r="F51" s="2"/>
      <c r="G51" s="2"/>
      <c r="H51" s="2"/>
      <c r="I51" s="2"/>
      <c r="J51" s="2"/>
      <c r="K51" s="2"/>
      <c r="L51" s="2"/>
      <c r="M51" s="17"/>
    </row>
    <row r="52" spans="1:13" ht="15.75" thickBot="1" x14ac:dyDescent="0.35">
      <c r="A52" s="274" t="s">
        <v>66</v>
      </c>
      <c r="B52" s="275"/>
      <c r="C52" s="275"/>
      <c r="D52" s="275"/>
      <c r="E52" s="24"/>
      <c r="F52" s="22"/>
      <c r="G52" s="22"/>
      <c r="H52" s="22"/>
      <c r="I52" s="22"/>
      <c r="J52" s="22"/>
      <c r="K52" s="22"/>
      <c r="L52" s="22"/>
      <c r="M52" s="23"/>
    </row>
  </sheetData>
  <mergeCells count="54">
    <mergeCell ref="K10:L10"/>
    <mergeCell ref="K11:L11"/>
    <mergeCell ref="K12:L12"/>
    <mergeCell ref="K13:L13"/>
    <mergeCell ref="B1:F1"/>
    <mergeCell ref="L2:M2"/>
    <mergeCell ref="L3:M3"/>
    <mergeCell ref="J5:K5"/>
    <mergeCell ref="L5:M5"/>
    <mergeCell ref="O13:P14"/>
    <mergeCell ref="K14:L14"/>
    <mergeCell ref="B16:D16"/>
    <mergeCell ref="E16:F16"/>
    <mergeCell ref="B17:D17"/>
    <mergeCell ref="E17:F17"/>
    <mergeCell ref="K15:L15"/>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O29:R29"/>
    <mergeCell ref="A30:B30"/>
    <mergeCell ref="C30:D30"/>
    <mergeCell ref="K30:L30"/>
    <mergeCell ref="A52:D52"/>
    <mergeCell ref="A31:B31"/>
    <mergeCell ref="C31:D31"/>
    <mergeCell ref="K31:L31"/>
    <mergeCell ref="K32:L32"/>
    <mergeCell ref="K33:L33"/>
    <mergeCell ref="K38:L38"/>
    <mergeCell ref="A39:B39"/>
    <mergeCell ref="C39:J39"/>
    <mergeCell ref="A40:J40"/>
    <mergeCell ref="C46:F46"/>
    <mergeCell ref="A48:G50"/>
  </mergeCells>
  <dataValidations count="1">
    <dataValidation type="list" allowBlank="1" showInputMessage="1" showErrorMessage="1" sqref="H17:H28" xr:uid="{00000000-0002-0000-1A00-000000000000}">
      <formula1>$P$5:$P$7</formula1>
    </dataValidation>
  </dataValidations>
  <printOptions horizontalCentered="1"/>
  <pageMargins left="0.51181102362204722" right="0.51181102362204722" top="0.51181102362204722" bottom="0.51181102362204722" header="0.51181102362204722" footer="0.23622047244094491"/>
  <pageSetup scale="65" fitToHeight="0" orientation="portrait"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6">
    <pageSetUpPr fitToPage="1"/>
  </sheetPr>
  <dimension ref="A1:Y52"/>
  <sheetViews>
    <sheetView showGridLines="0" topLeftCell="A25" zoomScale="85" zoomScaleNormal="85" workbookViewId="0">
      <selection activeCell="O17" activeCellId="1" sqref="J17:J18 O17:O18"/>
    </sheetView>
  </sheetViews>
  <sheetFormatPr defaultRowHeight="15" x14ac:dyDescent="0.3"/>
  <cols>
    <col min="1" max="3" width="11.42578125" customWidth="1"/>
    <col min="4" max="4" width="13.5703125" customWidth="1"/>
    <col min="5" max="5" width="11.42578125" customWidth="1"/>
    <col min="6" max="6" width="12.28515625" customWidth="1"/>
    <col min="7" max="7" width="8.140625" bestFit="1" customWidth="1"/>
    <col min="8" max="8" width="7.85546875" bestFit="1" customWidth="1"/>
    <col min="9" max="12" width="11.42578125" customWidth="1"/>
    <col min="13" max="13" width="16.85546875" customWidth="1"/>
    <col min="14" max="14" width="10.85546875" bestFit="1" customWidth="1"/>
    <col min="15" max="15" width="9.85546875" bestFit="1" customWidth="1"/>
    <col min="18" max="18" width="11.85546875" bestFit="1" customWidth="1"/>
    <col min="22" max="22" width="13.7109375" bestFit="1" customWidth="1"/>
  </cols>
  <sheetData>
    <row r="1" spans="1:25" ht="78" customHeight="1" x14ac:dyDescent="0.45">
      <c r="A1" s="8"/>
      <c r="B1" s="306" t="s">
        <v>74</v>
      </c>
      <c r="C1" s="306"/>
      <c r="D1" s="306"/>
      <c r="E1" s="306"/>
      <c r="F1" s="306"/>
      <c r="G1" s="80"/>
      <c r="H1" s="80"/>
      <c r="I1" s="80"/>
      <c r="J1" s="80"/>
      <c r="K1" s="80"/>
      <c r="L1" s="80"/>
      <c r="M1" s="30" t="s">
        <v>7</v>
      </c>
    </row>
    <row r="2" spans="1:25" ht="16.5" x14ac:dyDescent="0.3">
      <c r="A2" s="38" t="s">
        <v>69</v>
      </c>
      <c r="B2" s="39"/>
      <c r="C2" s="39"/>
      <c r="D2" s="9"/>
      <c r="E2" s="9"/>
      <c r="F2" s="9"/>
      <c r="G2" s="9"/>
      <c r="H2" s="9"/>
      <c r="I2" s="9"/>
      <c r="J2" s="35"/>
      <c r="K2" s="36" t="s">
        <v>45</v>
      </c>
      <c r="L2" s="307" t="s">
        <v>97</v>
      </c>
      <c r="M2" s="308"/>
    </row>
    <row r="3" spans="1:25" ht="16.5" x14ac:dyDescent="0.3">
      <c r="A3" s="40" t="s">
        <v>11</v>
      </c>
      <c r="B3" s="41"/>
      <c r="C3" s="41"/>
      <c r="D3" s="10"/>
      <c r="E3" s="10"/>
      <c r="F3" s="10"/>
      <c r="G3" s="10"/>
      <c r="H3" s="10"/>
      <c r="I3" s="10"/>
      <c r="J3" s="37"/>
      <c r="K3" s="36" t="s">
        <v>44</v>
      </c>
      <c r="L3" s="307" t="s">
        <v>96</v>
      </c>
      <c r="M3" s="308"/>
    </row>
    <row r="4" spans="1:25" ht="15" customHeight="1" x14ac:dyDescent="0.3">
      <c r="A4" s="40" t="s">
        <v>12</v>
      </c>
      <c r="B4" s="41"/>
      <c r="C4" s="41"/>
      <c r="D4" s="9"/>
      <c r="E4" s="9"/>
      <c r="F4" s="9"/>
      <c r="G4" s="9"/>
      <c r="H4" s="9"/>
      <c r="I4" s="9"/>
      <c r="J4" s="35"/>
      <c r="K4" s="36" t="s">
        <v>47</v>
      </c>
      <c r="L4" s="79" t="s">
        <v>98</v>
      </c>
      <c r="M4" s="77" t="s">
        <v>99</v>
      </c>
    </row>
    <row r="5" spans="1:25" ht="16.5" x14ac:dyDescent="0.3">
      <c r="A5" s="40" t="s">
        <v>10</v>
      </c>
      <c r="B5" s="41"/>
      <c r="C5" s="41"/>
      <c r="D5" s="9"/>
      <c r="E5" s="9"/>
      <c r="F5" s="9"/>
      <c r="G5" s="9"/>
      <c r="H5" s="9"/>
      <c r="I5" s="9"/>
      <c r="J5" s="309"/>
      <c r="K5" s="309"/>
      <c r="L5" s="310"/>
      <c r="M5" s="311"/>
      <c r="P5" t="s">
        <v>105</v>
      </c>
    </row>
    <row r="6" spans="1:25" ht="16.5" x14ac:dyDescent="0.3">
      <c r="A6" s="40" t="s">
        <v>9</v>
      </c>
      <c r="B6" s="41"/>
      <c r="C6" s="41"/>
      <c r="D6" s="9"/>
      <c r="E6" s="9"/>
      <c r="F6" s="9"/>
      <c r="G6" s="9"/>
      <c r="H6" s="9"/>
      <c r="I6" s="9"/>
      <c r="J6" s="9"/>
      <c r="K6" s="9"/>
      <c r="L6" s="9"/>
      <c r="M6" s="11"/>
      <c r="P6" t="s">
        <v>106</v>
      </c>
    </row>
    <row r="7" spans="1:25" x14ac:dyDescent="0.3">
      <c r="A7" s="12"/>
      <c r="B7" s="1"/>
      <c r="C7" s="1"/>
      <c r="D7" s="9"/>
      <c r="E7" s="9"/>
      <c r="F7" s="9"/>
      <c r="G7" s="9"/>
      <c r="H7" s="9"/>
      <c r="I7" s="9"/>
      <c r="J7" s="9"/>
      <c r="K7" s="9"/>
      <c r="L7" s="9"/>
      <c r="M7" s="11"/>
      <c r="P7" t="s">
        <v>89</v>
      </c>
    </row>
    <row r="8" spans="1:25" x14ac:dyDescent="0.3">
      <c r="A8" s="12"/>
      <c r="B8" s="1"/>
      <c r="C8" s="1"/>
      <c r="D8" s="1"/>
      <c r="E8" s="1"/>
      <c r="F8" s="1"/>
      <c r="G8" s="1"/>
      <c r="H8" s="1"/>
      <c r="I8" s="1"/>
      <c r="J8" s="1"/>
      <c r="K8" s="1"/>
      <c r="L8" s="1"/>
      <c r="M8" s="11"/>
    </row>
    <row r="9" spans="1:25" ht="16.5" x14ac:dyDescent="0.3">
      <c r="A9" s="13" t="s">
        <v>1</v>
      </c>
      <c r="B9" s="3"/>
      <c r="C9" s="3"/>
      <c r="D9" s="3"/>
      <c r="E9" s="3"/>
      <c r="F9" s="3"/>
      <c r="G9" s="3"/>
      <c r="H9" s="3"/>
      <c r="I9" s="3"/>
      <c r="J9" s="3"/>
      <c r="K9" s="3"/>
      <c r="L9" s="3" t="s">
        <v>31</v>
      </c>
      <c r="M9" s="34"/>
    </row>
    <row r="10" spans="1:25" ht="16.5" x14ac:dyDescent="0.3">
      <c r="A10" s="40" t="s">
        <v>88</v>
      </c>
      <c r="B10" s="41"/>
      <c r="C10" s="41"/>
      <c r="D10" s="9"/>
      <c r="E10" s="9"/>
      <c r="F10" s="9"/>
      <c r="G10" s="9"/>
      <c r="H10" s="9"/>
      <c r="I10" s="9"/>
      <c r="J10" s="9"/>
      <c r="K10" s="299" t="s">
        <v>32</v>
      </c>
      <c r="L10" s="299"/>
      <c r="M10" s="59" t="s">
        <v>34</v>
      </c>
    </row>
    <row r="11" spans="1:25" ht="16.5" customHeight="1" x14ac:dyDescent="0.3">
      <c r="A11" s="40" t="s">
        <v>86</v>
      </c>
      <c r="B11" s="41"/>
      <c r="C11" s="41"/>
      <c r="D11" s="9"/>
      <c r="E11" s="9"/>
      <c r="F11" s="9"/>
      <c r="G11" s="9"/>
      <c r="H11" s="9"/>
      <c r="I11" s="9"/>
      <c r="J11" s="9"/>
      <c r="K11" s="299" t="s">
        <v>42</v>
      </c>
      <c r="L11" s="299"/>
      <c r="M11" s="59" t="s">
        <v>43</v>
      </c>
    </row>
    <row r="12" spans="1:25" ht="16.5" customHeight="1" x14ac:dyDescent="0.3">
      <c r="A12" s="40" t="s">
        <v>87</v>
      </c>
      <c r="B12" s="41"/>
      <c r="C12" s="41"/>
      <c r="D12" s="9"/>
      <c r="E12" s="9"/>
      <c r="F12" s="9"/>
      <c r="G12" s="9"/>
      <c r="H12" s="9"/>
      <c r="I12" s="9"/>
      <c r="J12" s="9"/>
      <c r="K12" s="299" t="s">
        <v>41</v>
      </c>
      <c r="L12" s="299"/>
      <c r="M12" s="61">
        <f xml:space="preserve"> K29</f>
        <v>6890</v>
      </c>
      <c r="W12" t="s">
        <v>80</v>
      </c>
      <c r="Y12" t="s">
        <v>36</v>
      </c>
    </row>
    <row r="13" spans="1:25" ht="16.5" customHeight="1" x14ac:dyDescent="0.3">
      <c r="A13" s="40" t="s">
        <v>85</v>
      </c>
      <c r="B13" s="41"/>
      <c r="C13" s="41"/>
      <c r="D13" s="9"/>
      <c r="E13" s="9"/>
      <c r="F13" s="9"/>
      <c r="G13" s="9"/>
      <c r="H13" s="9"/>
      <c r="I13" s="9"/>
      <c r="J13" s="9"/>
      <c r="K13" s="299" t="s">
        <v>35</v>
      </c>
      <c r="L13" s="299"/>
      <c r="M13" s="60" t="str">
        <f>IF(K29/J29=1.06,"Cartons",IF(K29/J29&gt;=1.12,"Drums","Cartons &amp; Drums"))</f>
        <v>Cartons</v>
      </c>
      <c r="O13" s="215" t="s">
        <v>77</v>
      </c>
      <c r="P13" s="215"/>
      <c r="Q13" s="75"/>
      <c r="R13" s="64" t="s">
        <v>78</v>
      </c>
      <c r="S13" s="65" t="s">
        <v>76</v>
      </c>
      <c r="T13" t="s">
        <v>95</v>
      </c>
      <c r="V13" s="51" t="s">
        <v>75</v>
      </c>
      <c r="W13" s="50">
        <v>19800</v>
      </c>
      <c r="Y13" t="s">
        <v>67</v>
      </c>
    </row>
    <row r="14" spans="1:25" ht="16.5" customHeight="1" x14ac:dyDescent="0.3">
      <c r="A14" s="42" t="s">
        <v>84</v>
      </c>
      <c r="B14" s="43"/>
      <c r="C14" s="41"/>
      <c r="D14" s="9"/>
      <c r="E14" s="9"/>
      <c r="F14" s="9"/>
      <c r="G14" s="9"/>
      <c r="H14" s="9"/>
      <c r="I14" s="9"/>
      <c r="J14" s="9"/>
      <c r="K14" s="299" t="s">
        <v>33</v>
      </c>
      <c r="L14" s="299"/>
      <c r="M14" s="60">
        <f>J29/25</f>
        <v>260</v>
      </c>
      <c r="O14" s="215"/>
      <c r="P14" s="215"/>
      <c r="Q14" s="75"/>
      <c r="R14" s="75">
        <v>1</v>
      </c>
      <c r="S14" s="66"/>
      <c r="T14">
        <v>3</v>
      </c>
      <c r="V14" s="51" t="s">
        <v>76</v>
      </c>
      <c r="W14" s="50">
        <v>15000</v>
      </c>
      <c r="Y14" t="s">
        <v>91</v>
      </c>
    </row>
    <row r="15" spans="1:25" ht="12" customHeight="1" x14ac:dyDescent="0.3">
      <c r="A15" s="12"/>
      <c r="B15" s="1"/>
      <c r="C15" s="43"/>
      <c r="D15" s="1"/>
      <c r="E15" s="1"/>
      <c r="F15" s="1"/>
      <c r="G15" s="1"/>
      <c r="H15" s="1"/>
      <c r="I15" s="1"/>
      <c r="J15" s="1"/>
      <c r="K15" s="299"/>
      <c r="L15" s="299"/>
      <c r="M15" s="59"/>
      <c r="Y15" t="s">
        <v>89</v>
      </c>
    </row>
    <row r="16" spans="1:25" ht="48.75" customHeight="1" x14ac:dyDescent="0.3">
      <c r="A16" s="31" t="s">
        <v>17</v>
      </c>
      <c r="B16" s="312" t="s">
        <v>0</v>
      </c>
      <c r="C16" s="312"/>
      <c r="D16" s="312"/>
      <c r="E16" s="312" t="s">
        <v>39</v>
      </c>
      <c r="F16" s="312"/>
      <c r="G16" s="32" t="s">
        <v>18</v>
      </c>
      <c r="H16" s="32" t="s">
        <v>104</v>
      </c>
      <c r="I16" s="32" t="s">
        <v>19</v>
      </c>
      <c r="J16" s="32" t="s">
        <v>20</v>
      </c>
      <c r="K16" s="32" t="s">
        <v>23</v>
      </c>
      <c r="L16" s="32" t="s">
        <v>49</v>
      </c>
      <c r="M16" s="33" t="s">
        <v>50</v>
      </c>
      <c r="O16" s="32" t="s">
        <v>72</v>
      </c>
      <c r="P16" s="32" t="s">
        <v>81</v>
      </c>
      <c r="Q16" s="32" t="s">
        <v>94</v>
      </c>
      <c r="R16" s="32" t="s">
        <v>93</v>
      </c>
      <c r="S16" s="32" t="s">
        <v>73</v>
      </c>
    </row>
    <row r="17" spans="1:22" s="50" customFormat="1" ht="30" customHeight="1" x14ac:dyDescent="0.3">
      <c r="A17" s="67">
        <v>2351</v>
      </c>
      <c r="B17" s="290" t="e">
        <f>IF(A17:A28="","",IF(L$4="sys/",VLOOKUP(A17:A28,#REF!,4,FALSE)))</f>
        <v>#REF!</v>
      </c>
      <c r="C17" s="291"/>
      <c r="D17" s="292"/>
      <c r="E17" s="293" t="e">
        <f>IF(A17:A28="","",IF(L$4="sys/",VLOOKUP(A17:A28,#REF!,7,FALSE)))</f>
        <v>#REF!</v>
      </c>
      <c r="F17" s="294"/>
      <c r="G17" s="53" t="e">
        <f>IF(A17:A28="","",IF(L$4="sys/",VLOOKUP(A17:A28,#REF!,9,FALSE)))</f>
        <v>#REF!</v>
      </c>
      <c r="H17" s="53" t="s">
        <v>105</v>
      </c>
      <c r="I17" s="53" t="e">
        <f>IF(A17:A28="","",IF(L$4="sys/",VLOOKUP(A17:A28,#REF!,8,FALSE)))</f>
        <v>#REF!</v>
      </c>
      <c r="J17" s="52">
        <v>5500</v>
      </c>
      <c r="K17" s="52">
        <f>IF(H17="","",IF(H17="carton",(J17*26.5/25),IF(H17="drum",J17*28/25,IF(H17="bale",0))))</f>
        <v>5830</v>
      </c>
      <c r="L17" s="82" t="str">
        <f>FIXED(O17-(M$31/J$29),2,1)</f>
        <v>85.55</v>
      </c>
      <c r="M17" s="74">
        <f>J17*L17</f>
        <v>470525</v>
      </c>
      <c r="N17" s="49"/>
      <c r="O17" s="70">
        <v>86.57</v>
      </c>
      <c r="P17" s="48">
        <v>28.5</v>
      </c>
      <c r="Q17" s="73">
        <v>0.03</v>
      </c>
      <c r="R17" s="63">
        <f t="shared" ref="R17:R27" si="0">(O17-P17)/P17+Q17</f>
        <v>2.0675438596491222</v>
      </c>
      <c r="S17" s="50">
        <f t="shared" ref="S17:S27" si="1">O17*J17*R17</f>
        <v>984429.99561403471</v>
      </c>
      <c r="T17" s="50">
        <f>O17*J17</f>
        <v>476134.99999999994</v>
      </c>
    </row>
    <row r="18" spans="1:22" s="50" customFormat="1" ht="30" customHeight="1" x14ac:dyDescent="0.3">
      <c r="A18" s="68">
        <v>2512</v>
      </c>
      <c r="B18" s="290" t="e">
        <f>IF(A18:A29="","",IF(L$4="sys/",VLOOKUP(A18:A29,#REF!,4,FALSE)))</f>
        <v>#REF!</v>
      </c>
      <c r="C18" s="291"/>
      <c r="D18" s="292"/>
      <c r="E18" s="293" t="e">
        <f>IF(A18:A29="","",IF(L$4="sys/",VLOOKUP(A18:A29,#REF!,7,FALSE)))</f>
        <v>#REF!</v>
      </c>
      <c r="F18" s="294"/>
      <c r="G18" s="53" t="e">
        <f>IF(A18:A29="","",IF(L$4="sys/",VLOOKUP(A18:A29,#REF!,9,FALSE)))</f>
        <v>#REF!</v>
      </c>
      <c r="H18" s="53" t="s">
        <v>105</v>
      </c>
      <c r="I18" s="53" t="e">
        <f>IF(A18:A29="","",IF(L$4="sys/",VLOOKUP(A18:A29,#REF!,8,FALSE)))</f>
        <v>#REF!</v>
      </c>
      <c r="J18" s="53">
        <v>1000</v>
      </c>
      <c r="K18" s="53">
        <f t="shared" ref="K18:K28" si="2">IF(H18="","",IF(H18="carton",(J18*26.5/25),IF(H18="drum",J18*28/25,IF(H18="bale",0))))</f>
        <v>1060</v>
      </c>
      <c r="L18" s="81" t="str">
        <f>FIXED(O18-(M$31/J$29),2,1)</f>
        <v>125.33</v>
      </c>
      <c r="M18" s="74">
        <f>J18*L18</f>
        <v>125330</v>
      </c>
      <c r="N18" s="49"/>
      <c r="O18" s="70">
        <v>126.35</v>
      </c>
      <c r="P18" s="48">
        <v>24</v>
      </c>
      <c r="Q18" s="73">
        <v>0.03</v>
      </c>
      <c r="R18" s="63">
        <f t="shared" si="0"/>
        <v>4.2945833333333336</v>
      </c>
      <c r="S18" s="50">
        <f t="shared" si="1"/>
        <v>542620.60416666674</v>
      </c>
      <c r="T18" s="50">
        <f>O18*J18</f>
        <v>126350</v>
      </c>
    </row>
    <row r="19" spans="1:22" s="50" customFormat="1" ht="30" customHeight="1" x14ac:dyDescent="0.3">
      <c r="A19" s="68"/>
      <c r="B19" s="290" t="str">
        <f>IF(A19:A30="","",IF(L$4="sys/",VLOOKUP(A19:A30,#REF!,4,FALSE)))</f>
        <v/>
      </c>
      <c r="C19" s="291"/>
      <c r="D19" s="292"/>
      <c r="E19" s="293" t="str">
        <f>IF(A19:A30="","",IF(L$4="sys/",VLOOKUP(A19:A30,#REF!,7,FALSE)))</f>
        <v/>
      </c>
      <c r="F19" s="294"/>
      <c r="G19" s="53" t="str">
        <f>IF(A19="","",VLOOKUP(A19:A30,#REF!,9,FALSE))</f>
        <v/>
      </c>
      <c r="H19" s="53"/>
      <c r="I19" s="53" t="str">
        <f>IF(A19="","",VLOOKUP(A19:A30,#REF!,8,FALSE))</f>
        <v/>
      </c>
      <c r="J19" s="53"/>
      <c r="K19" s="53" t="str">
        <f t="shared" si="2"/>
        <v/>
      </c>
      <c r="L19" s="81"/>
      <c r="M19" s="74"/>
      <c r="N19" s="49"/>
      <c r="O19" s="70"/>
      <c r="P19" s="48">
        <v>34</v>
      </c>
      <c r="Q19" s="73">
        <v>0.03</v>
      </c>
      <c r="R19" s="63">
        <f t="shared" si="0"/>
        <v>-0.97</v>
      </c>
      <c r="S19" s="50">
        <f t="shared" si="1"/>
        <v>0</v>
      </c>
      <c r="V19" s="51"/>
    </row>
    <row r="20" spans="1:22" s="50" customFormat="1" ht="30" customHeight="1" x14ac:dyDescent="0.3">
      <c r="A20" s="68"/>
      <c r="B20" s="290" t="str">
        <f>IF(A20:A31="","",IF(L$4="sys/",VLOOKUP(A20:A31,#REF!,4,FALSE)))</f>
        <v/>
      </c>
      <c r="C20" s="291"/>
      <c r="D20" s="292"/>
      <c r="E20" s="293" t="str">
        <f>IF(A20:A31="","",IF(L$4="sys/",VLOOKUP(A20:A31,#REF!,7,FALSE)))</f>
        <v/>
      </c>
      <c r="F20" s="294"/>
      <c r="G20" s="53" t="str">
        <f>IF(A20="","",VLOOKUP(A20:A31,#REF!,9,FALSE))</f>
        <v/>
      </c>
      <c r="H20" s="53"/>
      <c r="I20" s="53" t="str">
        <f>IF(A20="","",VLOOKUP(A20:A31,#REF!,8,FALSE))</f>
        <v/>
      </c>
      <c r="J20" s="53"/>
      <c r="K20" s="53" t="str">
        <f t="shared" si="2"/>
        <v/>
      </c>
      <c r="L20" s="81"/>
      <c r="M20" s="74"/>
      <c r="N20" s="49"/>
      <c r="O20" s="70"/>
      <c r="P20" s="48">
        <v>36.5</v>
      </c>
      <c r="Q20" s="73">
        <v>0.03</v>
      </c>
      <c r="R20" s="63">
        <f t="shared" si="0"/>
        <v>-0.97</v>
      </c>
      <c r="S20" s="50">
        <f t="shared" si="1"/>
        <v>0</v>
      </c>
    </row>
    <row r="21" spans="1:22" s="50" customFormat="1" ht="30" customHeight="1" x14ac:dyDescent="0.3">
      <c r="A21" s="68"/>
      <c r="B21" s="290" t="str">
        <f>IF(A21:A32="","",IF(L$4="sys/",VLOOKUP(A21:A32,#REF!,4,FALSE)))</f>
        <v/>
      </c>
      <c r="C21" s="291"/>
      <c r="D21" s="292"/>
      <c r="E21" s="293" t="str">
        <f>IF(A21:A32="","",IF(L$4="sys/",VLOOKUP(A21:A32,#REF!,7,FALSE)))</f>
        <v/>
      </c>
      <c r="F21" s="294"/>
      <c r="G21" s="53" t="str">
        <f>IF(A21="","",VLOOKUP(A21:A32,#REF!,9,FALSE))</f>
        <v/>
      </c>
      <c r="H21" s="53"/>
      <c r="I21" s="53" t="str">
        <f>IF(A21="","",VLOOKUP(A21:A32,#REF!,8,FALSE))</f>
        <v/>
      </c>
      <c r="J21" s="53"/>
      <c r="K21" s="53" t="str">
        <f t="shared" si="2"/>
        <v/>
      </c>
      <c r="L21" s="81"/>
      <c r="M21" s="74"/>
      <c r="N21" s="49"/>
      <c r="O21" s="70"/>
      <c r="P21" s="48">
        <v>38</v>
      </c>
      <c r="Q21" s="73">
        <v>0.03</v>
      </c>
      <c r="R21" s="63">
        <f t="shared" si="0"/>
        <v>-0.97</v>
      </c>
      <c r="S21" s="50">
        <f t="shared" si="1"/>
        <v>0</v>
      </c>
      <c r="V21" s="51"/>
    </row>
    <row r="22" spans="1:22" s="50" customFormat="1" ht="30" customHeight="1" x14ac:dyDescent="0.3">
      <c r="A22" s="68"/>
      <c r="B22" s="290" t="str">
        <f>IF(A22:A33="","",IF(L$4="sys/",VLOOKUP(A22:A33,#REF!,4,FALSE)))</f>
        <v/>
      </c>
      <c r="C22" s="291"/>
      <c r="D22" s="292"/>
      <c r="E22" s="293" t="str">
        <f>IF(A22:A33="","",IF(L$4="sys/",VLOOKUP(A22:A33,#REF!,7,FALSE)))</f>
        <v/>
      </c>
      <c r="F22" s="294"/>
      <c r="G22" s="53" t="str">
        <f>IF(A22="","",VLOOKUP(A22:A33,#REF!,9,FALSE))</f>
        <v/>
      </c>
      <c r="H22" s="53"/>
      <c r="I22" s="53" t="str">
        <f>IF(A22="","",VLOOKUP(A22:A33,#REF!,8,FALSE))</f>
        <v/>
      </c>
      <c r="J22" s="53"/>
      <c r="K22" s="53" t="str">
        <f t="shared" si="2"/>
        <v/>
      </c>
      <c r="L22" s="81"/>
      <c r="M22" s="74"/>
      <c r="N22" s="49"/>
      <c r="O22" s="70"/>
      <c r="P22" s="48">
        <v>31.5</v>
      </c>
      <c r="Q22" s="73">
        <v>0.03</v>
      </c>
      <c r="R22" s="63">
        <f t="shared" si="0"/>
        <v>-0.97</v>
      </c>
      <c r="S22" s="50">
        <f t="shared" si="1"/>
        <v>0</v>
      </c>
      <c r="V22" s="51">
        <f>M38*5.5%</f>
        <v>33135.025000000001</v>
      </c>
    </row>
    <row r="23" spans="1:22" s="50" customFormat="1" ht="30" customHeight="1" x14ac:dyDescent="0.3">
      <c r="A23" s="68"/>
      <c r="B23" s="290" t="str">
        <f>IF(A23:A34="","",IF(L$4="sys/",VLOOKUP(A23:A34,#REF!,4,FALSE)))</f>
        <v/>
      </c>
      <c r="C23" s="291"/>
      <c r="D23" s="292"/>
      <c r="E23" s="293" t="str">
        <f>IF(A23:A34="","",IF(L$4="sys/",VLOOKUP(A23:A34,#REF!,7,FALSE)))</f>
        <v/>
      </c>
      <c r="F23" s="294"/>
      <c r="G23" s="53" t="str">
        <f>IF(A23="","",VLOOKUP(A23:A34,#REF!,9,FALSE))</f>
        <v/>
      </c>
      <c r="H23" s="53"/>
      <c r="I23" s="53" t="str">
        <f>IF(A23="","",VLOOKUP(A23:A34,#REF!,8,FALSE))</f>
        <v/>
      </c>
      <c r="J23" s="53"/>
      <c r="K23" s="53" t="str">
        <f t="shared" si="2"/>
        <v/>
      </c>
      <c r="L23" s="81"/>
      <c r="M23" s="74"/>
      <c r="N23" s="49"/>
      <c r="P23" s="50">
        <v>90.5</v>
      </c>
      <c r="Q23" s="73">
        <v>0.03</v>
      </c>
      <c r="R23" s="63">
        <f t="shared" si="0"/>
        <v>-0.97</v>
      </c>
      <c r="S23" s="50">
        <f t="shared" si="1"/>
        <v>0</v>
      </c>
      <c r="V23" s="51">
        <f>S29-V22</f>
        <v>1493915.5747807017</v>
      </c>
    </row>
    <row r="24" spans="1:22" s="50" customFormat="1" ht="30" customHeight="1" x14ac:dyDescent="0.3">
      <c r="A24" s="68"/>
      <c r="B24" s="290" t="str">
        <f>IF(A24:A35="","",IF(L$4="sys/",VLOOKUP(A24:A35,#REF!,4,FALSE)))</f>
        <v/>
      </c>
      <c r="C24" s="291"/>
      <c r="D24" s="292"/>
      <c r="E24" s="293" t="str">
        <f>IF(A24:A35="","",IF(L$4="sys/",VLOOKUP(A24:A35,#REF!,7,FALSE)))</f>
        <v/>
      </c>
      <c r="F24" s="294"/>
      <c r="G24" s="53" t="str">
        <f>IF(A24="","",VLOOKUP(A24:A35,#REF!,9,FALSE))</f>
        <v/>
      </c>
      <c r="H24" s="53"/>
      <c r="I24" s="53" t="str">
        <f>IF(A24="","",VLOOKUP(A24:A35,#REF!,8,FALSE))</f>
        <v/>
      </c>
      <c r="J24" s="53"/>
      <c r="K24" s="53" t="str">
        <f t="shared" si="2"/>
        <v/>
      </c>
      <c r="L24" s="81"/>
      <c r="M24" s="74"/>
      <c r="N24" s="49"/>
      <c r="P24" s="50">
        <v>75</v>
      </c>
      <c r="Q24" s="73">
        <v>0.03</v>
      </c>
      <c r="R24" s="63">
        <f t="shared" si="0"/>
        <v>-0.97</v>
      </c>
      <c r="S24" s="50">
        <f t="shared" si="1"/>
        <v>0</v>
      </c>
      <c r="V24" s="51"/>
    </row>
    <row r="25" spans="1:22" s="50" customFormat="1" ht="30" customHeight="1" x14ac:dyDescent="0.3">
      <c r="A25" s="68"/>
      <c r="B25" s="290" t="str">
        <f>IF(A25:A36="","",IF(L$4="sys/",VLOOKUP(A25:A36,#REF!,4,FALSE)))</f>
        <v/>
      </c>
      <c r="C25" s="291"/>
      <c r="D25" s="292"/>
      <c r="E25" s="293" t="str">
        <f>IF(A25:A36="","",IF(L$4="sys/",VLOOKUP(A25:A36,#REF!,7,FALSE)))</f>
        <v/>
      </c>
      <c r="F25" s="294"/>
      <c r="G25" s="53" t="str">
        <f>IF(A25="","",VLOOKUP(A25:A36,#REF!,9,FALSE))</f>
        <v/>
      </c>
      <c r="H25" s="53"/>
      <c r="I25" s="53" t="str">
        <f>IF(A25="","",VLOOKUP(A25:A36,#REF!,8,FALSE))</f>
        <v/>
      </c>
      <c r="J25" s="53"/>
      <c r="K25" s="53" t="str">
        <f t="shared" si="2"/>
        <v/>
      </c>
      <c r="L25" s="81"/>
      <c r="M25" s="74"/>
      <c r="N25" s="49"/>
      <c r="P25" s="50">
        <v>33.200000000000003</v>
      </c>
      <c r="Q25" s="73">
        <v>0.03</v>
      </c>
      <c r="R25" s="63">
        <f t="shared" si="0"/>
        <v>-0.97</v>
      </c>
      <c r="S25" s="50">
        <f t="shared" si="1"/>
        <v>0</v>
      </c>
      <c r="V25" s="51"/>
    </row>
    <row r="26" spans="1:22" s="50" customFormat="1" ht="30" customHeight="1" x14ac:dyDescent="0.3">
      <c r="A26" s="68"/>
      <c r="B26" s="290" t="str">
        <f>IF(A26:A37="","",IF(L$4="sys/",VLOOKUP(A26:A37,#REF!,4,FALSE)))</f>
        <v/>
      </c>
      <c r="C26" s="291"/>
      <c r="D26" s="292"/>
      <c r="E26" s="293" t="str">
        <f>IF(A26:A37="","",IF(L$4="sys/",VLOOKUP(A26:A37,#REF!,7,FALSE)))</f>
        <v/>
      </c>
      <c r="F26" s="294"/>
      <c r="G26" s="53" t="str">
        <f>IF(A26="","",VLOOKUP(A26:A37,#REF!,9,FALSE))</f>
        <v/>
      </c>
      <c r="H26" s="53"/>
      <c r="I26" s="53" t="str">
        <f>IF(A26="","",VLOOKUP(A26:A37,#REF!,8,FALSE))</f>
        <v/>
      </c>
      <c r="J26" s="53"/>
      <c r="K26" s="53" t="str">
        <f t="shared" si="2"/>
        <v/>
      </c>
      <c r="L26" s="81"/>
      <c r="M26" s="74"/>
      <c r="N26" s="49"/>
      <c r="P26" s="50">
        <v>29.5</v>
      </c>
      <c r="Q26" s="73">
        <v>0.03</v>
      </c>
      <c r="R26" s="63">
        <f t="shared" si="0"/>
        <v>-0.97</v>
      </c>
      <c r="S26" s="50">
        <f t="shared" si="1"/>
        <v>0</v>
      </c>
      <c r="V26" s="51"/>
    </row>
    <row r="27" spans="1:22" s="50" customFormat="1" ht="30" customHeight="1" x14ac:dyDescent="0.3">
      <c r="A27" s="68"/>
      <c r="B27" s="290" t="str">
        <f>IF(A27:A38="","",IF(L$4="sys/",VLOOKUP(A27:A38,#REF!,4,FALSE)))</f>
        <v/>
      </c>
      <c r="C27" s="291"/>
      <c r="D27" s="292"/>
      <c r="E27" s="293" t="str">
        <f>IF(A27:A38="","",IF(L$4="sys/",VLOOKUP(A27:A38,#REF!,7,FALSE)))</f>
        <v/>
      </c>
      <c r="F27" s="294"/>
      <c r="G27" s="53" t="str">
        <f>IF(A27="","",VLOOKUP(A27:A38,#REF!,9,FALSE))</f>
        <v/>
      </c>
      <c r="H27" s="53"/>
      <c r="I27" s="53" t="str">
        <f>IF(A27="","",VLOOKUP(A27:A38,#REF!,8,FALSE))</f>
        <v/>
      </c>
      <c r="J27" s="53"/>
      <c r="K27" s="53" t="str">
        <f t="shared" si="2"/>
        <v/>
      </c>
      <c r="L27" s="81"/>
      <c r="M27" s="74"/>
      <c r="N27" s="49"/>
      <c r="P27" s="50">
        <v>50.4</v>
      </c>
      <c r="Q27" s="73">
        <v>0.03</v>
      </c>
      <c r="R27" s="63">
        <f t="shared" si="0"/>
        <v>-0.97</v>
      </c>
      <c r="S27" s="50">
        <f t="shared" si="1"/>
        <v>0</v>
      </c>
      <c r="V27" s="51"/>
    </row>
    <row r="28" spans="1:22" s="50" customFormat="1" ht="30" customHeight="1" x14ac:dyDescent="0.3">
      <c r="A28" s="68"/>
      <c r="B28" s="290" t="str">
        <f>IF(A28:A39="","",IF(L$4="sys/",VLOOKUP(A28:A39,#REF!,4,FALSE)))</f>
        <v/>
      </c>
      <c r="C28" s="291"/>
      <c r="D28" s="292"/>
      <c r="E28" s="293" t="str">
        <f>IF(A28:A39="","",IF(L$4="sys/",VLOOKUP(A28:A39,#REF!,7,FALSE)))</f>
        <v/>
      </c>
      <c r="F28" s="294"/>
      <c r="G28" s="53" t="str">
        <f>IF(A28="","",VLOOKUP(A28:A39,#REF!,9,FALSE))</f>
        <v/>
      </c>
      <c r="H28" s="53"/>
      <c r="I28" s="53" t="str">
        <f>IF(A28="","",VLOOKUP(A28:A39,#REF!,8,FALSE))</f>
        <v/>
      </c>
      <c r="J28" s="53"/>
      <c r="K28" s="53" t="str">
        <f t="shared" si="2"/>
        <v/>
      </c>
      <c r="L28" s="81"/>
      <c r="M28" s="74"/>
      <c r="N28" s="49"/>
      <c r="R28" s="63"/>
      <c r="V28" s="51"/>
    </row>
    <row r="29" spans="1:22" ht="16.5" x14ac:dyDescent="0.3">
      <c r="A29" s="14" t="s">
        <v>5</v>
      </c>
      <c r="B29" s="7"/>
      <c r="C29" s="7"/>
      <c r="D29" s="7"/>
      <c r="E29" s="7"/>
      <c r="F29" s="7"/>
      <c r="G29" s="7"/>
      <c r="H29" s="7"/>
      <c r="I29" s="7"/>
      <c r="J29" s="25">
        <f>SUM(J17:J28)</f>
        <v>6500</v>
      </c>
      <c r="K29" s="25">
        <f>SUM(K17:K28)</f>
        <v>6890</v>
      </c>
      <c r="L29" s="25"/>
      <c r="M29" s="58">
        <f>SUM(M17:M28)</f>
        <v>595855</v>
      </c>
      <c r="O29" s="313" t="s">
        <v>79</v>
      </c>
      <c r="P29" s="313"/>
      <c r="Q29" s="313"/>
      <c r="R29" s="313"/>
      <c r="S29">
        <f>SUM(S17:S28)</f>
        <v>1527050.5997807016</v>
      </c>
      <c r="V29" s="47">
        <f>S29/M38</f>
        <v>2.5347131317371447</v>
      </c>
    </row>
    <row r="30" spans="1:22" ht="21" x14ac:dyDescent="0.3">
      <c r="A30" s="286" t="s">
        <v>37</v>
      </c>
      <c r="B30" s="287"/>
      <c r="C30" s="271" t="s">
        <v>40</v>
      </c>
      <c r="D30" s="271"/>
      <c r="E30" s="6"/>
      <c r="F30" s="6"/>
      <c r="G30" s="6"/>
      <c r="H30" s="6"/>
      <c r="I30" s="6"/>
      <c r="J30" s="6"/>
      <c r="K30" s="295" t="s">
        <v>21</v>
      </c>
      <c r="L30" s="296"/>
      <c r="M30" s="57">
        <f>M29</f>
        <v>595855</v>
      </c>
      <c r="R30" s="46"/>
      <c r="V30" s="47"/>
    </row>
    <row r="31" spans="1:22" ht="18.75" x14ac:dyDescent="0.3">
      <c r="A31" s="286" t="s">
        <v>38</v>
      </c>
      <c r="B31" s="287"/>
      <c r="C31" s="271" t="s">
        <v>48</v>
      </c>
      <c r="D31" s="271"/>
      <c r="E31" s="6"/>
      <c r="F31" s="6"/>
      <c r="G31" s="6"/>
      <c r="H31" s="6"/>
      <c r="I31" s="6"/>
      <c r="J31" s="6"/>
      <c r="K31" s="288" t="s">
        <v>22</v>
      </c>
      <c r="L31" s="289"/>
      <c r="M31" s="56">
        <f>(R14*W13+S14*W14)/T14</f>
        <v>6600</v>
      </c>
      <c r="R31" s="47"/>
      <c r="V31" s="47"/>
    </row>
    <row r="32" spans="1:22" ht="16.5" customHeight="1" x14ac:dyDescent="0.3">
      <c r="A32" s="12" t="s">
        <v>46</v>
      </c>
      <c r="B32" s="6"/>
      <c r="C32" s="44" t="s">
        <v>28</v>
      </c>
      <c r="D32" s="6"/>
      <c r="E32" s="6"/>
      <c r="F32" s="6"/>
      <c r="G32" s="6"/>
      <c r="H32" s="6"/>
      <c r="I32" s="6"/>
      <c r="J32" s="6"/>
      <c r="K32" s="276" t="s">
        <v>26</v>
      </c>
      <c r="L32" s="277"/>
      <c r="M32" s="55">
        <v>0</v>
      </c>
      <c r="S32" s="69" t="s">
        <v>82</v>
      </c>
    </row>
    <row r="33" spans="1:19" ht="16.5" customHeight="1" x14ac:dyDescent="0.3">
      <c r="A33" s="15" t="s">
        <v>68</v>
      </c>
      <c r="B33" s="6"/>
      <c r="C33" s="6"/>
      <c r="D33" s="6"/>
      <c r="E33" s="6"/>
      <c r="F33" s="6"/>
      <c r="G33" s="6"/>
      <c r="H33" s="6"/>
      <c r="I33" s="6"/>
      <c r="J33" s="6"/>
      <c r="K33" s="276" t="s">
        <v>27</v>
      </c>
      <c r="L33" s="277"/>
      <c r="M33" s="55">
        <v>0</v>
      </c>
    </row>
    <row r="34" spans="1:19" ht="16.5" customHeight="1" x14ac:dyDescent="0.3">
      <c r="A34" s="16" t="s">
        <v>13</v>
      </c>
      <c r="B34" s="6"/>
      <c r="C34" s="6"/>
      <c r="D34" s="6"/>
      <c r="E34" s="6"/>
      <c r="F34" s="6"/>
      <c r="G34" s="6"/>
      <c r="H34" s="6"/>
      <c r="I34" s="6"/>
      <c r="J34" s="6"/>
      <c r="K34" s="6"/>
      <c r="L34" s="6"/>
      <c r="M34" s="55">
        <v>0</v>
      </c>
    </row>
    <row r="35" spans="1:19" ht="16.5" customHeight="1" x14ac:dyDescent="0.3">
      <c r="A35" s="16" t="s">
        <v>14</v>
      </c>
      <c r="B35" s="6"/>
      <c r="C35" s="6"/>
      <c r="D35" s="6"/>
      <c r="E35" s="6"/>
      <c r="F35" s="6"/>
      <c r="G35" s="6"/>
      <c r="H35" s="6"/>
      <c r="I35" s="6"/>
      <c r="J35" s="6"/>
      <c r="K35" s="6"/>
      <c r="L35" s="6"/>
      <c r="M35" s="55">
        <v>0</v>
      </c>
    </row>
    <row r="36" spans="1:19" ht="16.5" customHeight="1" x14ac:dyDescent="0.3">
      <c r="A36" s="16" t="s">
        <v>15</v>
      </c>
      <c r="B36" s="6"/>
      <c r="C36" s="6"/>
      <c r="D36" s="6"/>
      <c r="E36" s="6"/>
      <c r="F36" s="6"/>
      <c r="G36" s="6"/>
      <c r="H36" s="6"/>
      <c r="I36" s="6"/>
      <c r="J36" s="6"/>
      <c r="K36" s="6"/>
      <c r="L36" s="6"/>
      <c r="M36" s="55">
        <v>0</v>
      </c>
    </row>
    <row r="37" spans="1:19" ht="16.5" customHeight="1" x14ac:dyDescent="0.3">
      <c r="A37" s="16" t="s">
        <v>16</v>
      </c>
      <c r="B37" s="6"/>
      <c r="C37" s="6"/>
      <c r="D37" s="6"/>
      <c r="E37" s="6"/>
      <c r="F37" s="6"/>
      <c r="G37" s="6"/>
      <c r="H37" s="6"/>
      <c r="I37" s="6"/>
      <c r="J37" s="6"/>
      <c r="K37" s="6"/>
      <c r="L37" s="6"/>
      <c r="M37" s="55">
        <v>0</v>
      </c>
    </row>
    <row r="38" spans="1:19" ht="21.75" thickBot="1" x14ac:dyDescent="0.4">
      <c r="A38" s="16" t="s">
        <v>65</v>
      </c>
      <c r="B38" s="1"/>
      <c r="C38" s="1"/>
      <c r="D38" s="1"/>
      <c r="E38" s="1"/>
      <c r="F38" s="1"/>
      <c r="G38" s="1"/>
      <c r="H38" s="1"/>
      <c r="I38" s="1"/>
      <c r="J38" s="1"/>
      <c r="K38" s="278" t="s">
        <v>25</v>
      </c>
      <c r="L38" s="279"/>
      <c r="M38" s="54">
        <f>SUM(M30+M31)</f>
        <v>602455</v>
      </c>
      <c r="O38" s="72">
        <v>426655.25</v>
      </c>
    </row>
    <row r="39" spans="1:19" ht="18.75" thickBot="1" x14ac:dyDescent="0.35">
      <c r="A39" s="280" t="s">
        <v>83</v>
      </c>
      <c r="B39" s="281"/>
      <c r="C39" s="282" t="e">
        <f ca="1">SpellNumber(M38)</f>
        <v>#NAME?</v>
      </c>
      <c r="D39" s="282"/>
      <c r="E39" s="282"/>
      <c r="F39" s="282"/>
      <c r="G39" s="282"/>
      <c r="H39" s="282"/>
      <c r="I39" s="282"/>
      <c r="J39" s="283"/>
      <c r="K39" s="1"/>
      <c r="L39" s="1"/>
      <c r="M39" s="45" t="s">
        <v>51</v>
      </c>
    </row>
    <row r="40" spans="1:19" x14ac:dyDescent="0.3">
      <c r="A40" s="284"/>
      <c r="B40" s="285"/>
      <c r="C40" s="285"/>
      <c r="D40" s="285"/>
      <c r="E40" s="285"/>
      <c r="F40" s="285"/>
      <c r="G40" s="285"/>
      <c r="H40" s="285"/>
      <c r="I40" s="285"/>
      <c r="J40" s="285"/>
      <c r="K40" s="1"/>
      <c r="L40" s="1"/>
      <c r="M40" s="17"/>
    </row>
    <row r="41" spans="1:19" ht="16.5" x14ac:dyDescent="0.3">
      <c r="A41" s="18" t="s">
        <v>8</v>
      </c>
      <c r="B41" s="5"/>
      <c r="C41" s="5"/>
      <c r="D41" s="5"/>
      <c r="E41" s="5"/>
      <c r="F41" s="5"/>
      <c r="G41" s="5"/>
      <c r="H41" s="5"/>
      <c r="I41" s="5"/>
      <c r="J41" s="5"/>
      <c r="K41" s="5"/>
      <c r="L41" s="5"/>
      <c r="M41" s="19"/>
    </row>
    <row r="42" spans="1:19" x14ac:dyDescent="0.3">
      <c r="A42" s="28" t="s">
        <v>4</v>
      </c>
      <c r="B42" s="27"/>
      <c r="C42" s="27" t="s">
        <v>28</v>
      </c>
      <c r="D42" s="27"/>
      <c r="E42" s="27"/>
      <c r="F42" s="27"/>
      <c r="G42" s="1"/>
      <c r="H42" s="1"/>
      <c r="I42" s="1"/>
      <c r="J42" s="1"/>
      <c r="K42" s="1"/>
      <c r="L42" s="1"/>
      <c r="M42" s="17"/>
    </row>
    <row r="43" spans="1:19" x14ac:dyDescent="0.3">
      <c r="A43" s="28" t="s">
        <v>2</v>
      </c>
      <c r="B43" s="27"/>
      <c r="C43" s="27" t="s">
        <v>28</v>
      </c>
      <c r="D43" s="27"/>
      <c r="E43" s="27"/>
      <c r="F43" s="27"/>
      <c r="G43" s="1"/>
      <c r="H43" s="1"/>
      <c r="I43" s="1"/>
      <c r="J43" s="1"/>
      <c r="K43" s="1"/>
      <c r="L43" s="1"/>
      <c r="M43" s="17"/>
      <c r="S43" t="e">
        <f ca="1">SpellNumber(M38)</f>
        <v>#NAME?</v>
      </c>
    </row>
    <row r="44" spans="1:19" x14ac:dyDescent="0.3">
      <c r="A44" s="28" t="s">
        <v>3</v>
      </c>
      <c r="B44" s="27"/>
      <c r="C44" s="27" t="s">
        <v>29</v>
      </c>
      <c r="D44" s="27"/>
      <c r="E44" s="27"/>
      <c r="F44" s="27"/>
      <c r="G44" s="1"/>
      <c r="H44" s="1"/>
      <c r="I44" s="1"/>
      <c r="J44" s="1"/>
      <c r="K44" s="1"/>
      <c r="L44" s="1"/>
      <c r="M44" s="17"/>
    </row>
    <row r="45" spans="1:19" x14ac:dyDescent="0.3">
      <c r="A45" s="28"/>
      <c r="B45" s="27"/>
      <c r="C45" s="27"/>
      <c r="D45" s="27"/>
      <c r="E45" s="27"/>
      <c r="F45" s="27"/>
      <c r="G45" s="1"/>
      <c r="H45" s="1"/>
      <c r="I45" s="1"/>
      <c r="J45" s="1"/>
      <c r="K45" s="1"/>
      <c r="L45" s="1"/>
      <c r="M45" s="17"/>
      <c r="R45" t="e">
        <f ca="1">SpellNumber(M38)</f>
        <v>#NAME?</v>
      </c>
    </row>
    <row r="46" spans="1:19" x14ac:dyDescent="0.3">
      <c r="A46" s="29" t="s">
        <v>6</v>
      </c>
      <c r="B46" s="26"/>
      <c r="C46" s="271" t="s">
        <v>24</v>
      </c>
      <c r="D46" s="271"/>
      <c r="E46" s="271"/>
      <c r="F46" s="271"/>
      <c r="G46" s="2"/>
      <c r="H46" s="2"/>
      <c r="I46" s="2"/>
      <c r="J46" s="2"/>
      <c r="K46" s="2"/>
      <c r="L46" s="2"/>
      <c r="M46" s="17"/>
      <c r="R46" t="e">
        <f ca="1">SpellNumber(M38)</f>
        <v>#NAME?</v>
      </c>
    </row>
    <row r="47" spans="1:19" x14ac:dyDescent="0.3">
      <c r="A47" s="20"/>
      <c r="B47" s="2"/>
      <c r="C47" s="2"/>
      <c r="D47" s="2"/>
      <c r="E47" s="2"/>
      <c r="F47" s="2"/>
      <c r="G47" s="2"/>
      <c r="H47" s="2"/>
      <c r="I47" s="2"/>
      <c r="J47" s="2"/>
      <c r="K47" s="2"/>
      <c r="L47" s="2"/>
      <c r="M47" s="17"/>
      <c r="R47" t="e">
        <f ca="1">SpellNumber(M38)</f>
        <v>#NAME?</v>
      </c>
    </row>
    <row r="48" spans="1:19" ht="15" customHeight="1" x14ac:dyDescent="0.3">
      <c r="A48" s="272" t="s">
        <v>30</v>
      </c>
      <c r="B48" s="273"/>
      <c r="C48" s="273"/>
      <c r="D48" s="273"/>
      <c r="E48" s="273"/>
      <c r="F48" s="273"/>
      <c r="G48" s="273"/>
      <c r="H48" s="78"/>
      <c r="I48" s="2"/>
      <c r="J48" s="2"/>
      <c r="K48" s="2"/>
      <c r="L48" s="2"/>
      <c r="M48" s="17"/>
    </row>
    <row r="49" spans="1:13" x14ac:dyDescent="0.3">
      <c r="A49" s="272"/>
      <c r="B49" s="273"/>
      <c r="C49" s="273"/>
      <c r="D49" s="273"/>
      <c r="E49" s="273"/>
      <c r="F49" s="273"/>
      <c r="G49" s="273"/>
      <c r="H49" s="78"/>
      <c r="I49" s="2"/>
      <c r="J49" s="2"/>
      <c r="K49" s="2"/>
      <c r="L49" s="2"/>
      <c r="M49" s="17"/>
    </row>
    <row r="50" spans="1:13" x14ac:dyDescent="0.3">
      <c r="A50" s="272"/>
      <c r="B50" s="273"/>
      <c r="C50" s="273"/>
      <c r="D50" s="273"/>
      <c r="E50" s="273"/>
      <c r="F50" s="273"/>
      <c r="G50" s="273"/>
      <c r="H50" s="78"/>
      <c r="I50" s="2"/>
      <c r="J50" s="2"/>
      <c r="K50" s="2"/>
      <c r="L50" s="2"/>
      <c r="M50" s="17"/>
    </row>
    <row r="51" spans="1:13" x14ac:dyDescent="0.3">
      <c r="A51" s="21" t="s">
        <v>92</v>
      </c>
      <c r="B51" s="4"/>
      <c r="C51" s="2"/>
      <c r="D51" s="2"/>
      <c r="E51" s="2"/>
      <c r="F51" s="2"/>
      <c r="G51" s="2"/>
      <c r="H51" s="2"/>
      <c r="I51" s="2"/>
      <c r="J51" s="2"/>
      <c r="K51" s="2"/>
      <c r="L51" s="2"/>
      <c r="M51" s="17"/>
    </row>
    <row r="52" spans="1:13" ht="15.75" thickBot="1" x14ac:dyDescent="0.35">
      <c r="A52" s="274" t="s">
        <v>66</v>
      </c>
      <c r="B52" s="275"/>
      <c r="C52" s="275"/>
      <c r="D52" s="275"/>
      <c r="E52" s="24"/>
      <c r="F52" s="22"/>
      <c r="G52" s="22"/>
      <c r="H52" s="22"/>
      <c r="I52" s="22"/>
      <c r="J52" s="22"/>
      <c r="K52" s="22"/>
      <c r="L52" s="22"/>
      <c r="M52" s="23"/>
    </row>
  </sheetData>
  <mergeCells count="54">
    <mergeCell ref="K10:L10"/>
    <mergeCell ref="K11:L11"/>
    <mergeCell ref="K12:L12"/>
    <mergeCell ref="K13:L13"/>
    <mergeCell ref="B1:F1"/>
    <mergeCell ref="L2:M2"/>
    <mergeCell ref="L3:M3"/>
    <mergeCell ref="J5:K5"/>
    <mergeCell ref="L5:M5"/>
    <mergeCell ref="O13:P14"/>
    <mergeCell ref="K14:L14"/>
    <mergeCell ref="B16:D16"/>
    <mergeCell ref="E16:F16"/>
    <mergeCell ref="B17:D17"/>
    <mergeCell ref="E17:F17"/>
    <mergeCell ref="K15:L15"/>
    <mergeCell ref="B18:D18"/>
    <mergeCell ref="E18:F18"/>
    <mergeCell ref="O29:R29"/>
    <mergeCell ref="B22:D22"/>
    <mergeCell ref="B23:D23"/>
    <mergeCell ref="B24:D24"/>
    <mergeCell ref="E28:F28"/>
    <mergeCell ref="B25:D25"/>
    <mergeCell ref="B26:D26"/>
    <mergeCell ref="B27:D27"/>
    <mergeCell ref="A30:B30"/>
    <mergeCell ref="C30:D30"/>
    <mergeCell ref="K30:L30"/>
    <mergeCell ref="E19:F19"/>
    <mergeCell ref="E20:F20"/>
    <mergeCell ref="E21:F21"/>
    <mergeCell ref="E22:F22"/>
    <mergeCell ref="E23:F23"/>
    <mergeCell ref="E24:F24"/>
    <mergeCell ref="E25:F25"/>
    <mergeCell ref="E26:F26"/>
    <mergeCell ref="E27:F27"/>
    <mergeCell ref="B28:D28"/>
    <mergeCell ref="B19:D19"/>
    <mergeCell ref="B20:D20"/>
    <mergeCell ref="B21:D21"/>
    <mergeCell ref="A52:D52"/>
    <mergeCell ref="A31:B31"/>
    <mergeCell ref="C31:D31"/>
    <mergeCell ref="K31:L31"/>
    <mergeCell ref="K32:L32"/>
    <mergeCell ref="K33:L33"/>
    <mergeCell ref="K38:L38"/>
    <mergeCell ref="A39:B39"/>
    <mergeCell ref="C39:J39"/>
    <mergeCell ref="A40:J40"/>
    <mergeCell ref="C46:F46"/>
    <mergeCell ref="A48:G50"/>
  </mergeCells>
  <dataValidations count="1">
    <dataValidation type="list" allowBlank="1" showInputMessage="1" showErrorMessage="1" sqref="O9 H17:H28" xr:uid="{00000000-0002-0000-1B00-000000000000}">
      <formula1>$P$5:$P$7</formula1>
    </dataValidation>
  </dataValidations>
  <printOptions horizontalCentered="1"/>
  <pageMargins left="0.51181102362204722" right="0.51181102362204722" top="0.51181102362204722" bottom="0.51181102362204722" header="0.51181102362204722" footer="0.23622047244094491"/>
  <pageSetup scale="67" fitToHeight="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2"/>
  <dimension ref="A1:AK58"/>
  <sheetViews>
    <sheetView showGridLines="0" topLeftCell="A4" zoomScale="93" zoomScaleNormal="93" workbookViewId="0">
      <selection activeCell="H24" sqref="H24"/>
    </sheetView>
  </sheetViews>
  <sheetFormatPr defaultRowHeight="15" x14ac:dyDescent="0.3"/>
  <cols>
    <col min="1" max="3" width="11.42578125" customWidth="1"/>
    <col min="4" max="4" width="21.140625" customWidth="1"/>
    <col min="5" max="5" width="11.42578125" customWidth="1"/>
    <col min="6" max="6" width="17" customWidth="1"/>
    <col min="7" max="7" width="8.140625" bestFit="1" customWidth="1"/>
    <col min="8" max="8" width="8.140625" customWidth="1"/>
    <col min="9" max="9" width="9.42578125" hidden="1" customWidth="1"/>
    <col min="10" max="11" width="11.42578125" customWidth="1"/>
    <col min="12" max="12" width="11.42578125" hidden="1" customWidth="1"/>
    <col min="13" max="14" width="11.42578125" customWidth="1"/>
    <col min="15" max="15" width="16.85546875" customWidth="1"/>
    <col min="16" max="16" width="10.85546875" bestFit="1" customWidth="1"/>
    <col min="17" max="17" width="9.85546875" bestFit="1" customWidth="1"/>
    <col min="20" max="20" width="11.85546875" bestFit="1" customWidth="1"/>
    <col min="35" max="35" width="40.140625" bestFit="1" customWidth="1"/>
  </cols>
  <sheetData>
    <row r="1" spans="1:37" ht="78" customHeight="1" x14ac:dyDescent="0.45">
      <c r="A1" s="183"/>
      <c r="B1" s="204" t="s">
        <v>108</v>
      </c>
      <c r="C1" s="204"/>
      <c r="D1" s="204"/>
      <c r="E1" s="204"/>
      <c r="F1" s="204"/>
      <c r="G1" s="119"/>
      <c r="H1" s="119"/>
      <c r="I1" s="119"/>
      <c r="J1" s="119"/>
      <c r="K1" s="119"/>
      <c r="L1" s="119"/>
      <c r="M1" s="119"/>
      <c r="N1" s="119"/>
      <c r="O1" s="120" t="s">
        <v>7</v>
      </c>
      <c r="X1" s="87" t="s">
        <v>74</v>
      </c>
      <c r="Y1" s="88" t="s">
        <v>108</v>
      </c>
      <c r="Z1" s="38" t="s">
        <v>69</v>
      </c>
      <c r="AA1" s="38" t="s">
        <v>109</v>
      </c>
      <c r="AI1" s="115" t="e">
        <f>IF(#REF!="","",#REF!)</f>
        <v>#REF!</v>
      </c>
    </row>
    <row r="2" spans="1:37" ht="16.5" x14ac:dyDescent="0.3">
      <c r="A2" s="121" t="str">
        <f>IF(B1=X1,Z1,AA1)</f>
        <v>SINOCHEM TIANJIN CO., LTD</v>
      </c>
      <c r="B2" s="122"/>
      <c r="C2" s="122"/>
      <c r="D2" s="123"/>
      <c r="E2" s="123"/>
      <c r="F2" s="123"/>
      <c r="G2" s="123"/>
      <c r="H2" s="123"/>
      <c r="I2" s="123"/>
      <c r="J2" s="123"/>
      <c r="K2" s="124"/>
      <c r="L2" s="124"/>
      <c r="M2" s="125" t="s">
        <v>45</v>
      </c>
      <c r="N2" s="205" t="s">
        <v>97</v>
      </c>
      <c r="O2" s="206"/>
      <c r="Z2" s="89" t="s">
        <v>144</v>
      </c>
      <c r="AA2" s="89" t="s">
        <v>111</v>
      </c>
      <c r="AI2" s="115" t="e">
        <f>IF(#REF!="","",#REF!)</f>
        <v>#REF!</v>
      </c>
    </row>
    <row r="3" spans="1:37" ht="16.5" x14ac:dyDescent="0.3">
      <c r="A3" s="126" t="s">
        <v>11</v>
      </c>
      <c r="B3" s="127"/>
      <c r="C3" s="127"/>
      <c r="D3" s="128"/>
      <c r="E3" s="128"/>
      <c r="F3" s="128"/>
      <c r="G3" s="128"/>
      <c r="H3" s="128"/>
      <c r="I3" s="128"/>
      <c r="J3" s="128"/>
      <c r="K3" s="129"/>
      <c r="L3" s="129"/>
      <c r="M3" s="125" t="s">
        <v>44</v>
      </c>
      <c r="N3" s="205" t="s">
        <v>146</v>
      </c>
      <c r="O3" s="206"/>
      <c r="Z3" s="38" t="s">
        <v>112</v>
      </c>
      <c r="AA3" s="38" t="s">
        <v>113</v>
      </c>
      <c r="AI3" s="115" t="e">
        <f>IF(#REF!="","",#REF!)</f>
        <v>#REF!</v>
      </c>
      <c r="AK3" t="e">
        <f>IF(AI1=0,"",AI1)</f>
        <v>#REF!</v>
      </c>
    </row>
    <row r="4" spans="1:37" ht="15" customHeight="1" x14ac:dyDescent="0.3">
      <c r="A4" s="126" t="s">
        <v>12</v>
      </c>
      <c r="B4" s="127"/>
      <c r="C4" s="127"/>
      <c r="D4" s="123"/>
      <c r="E4" s="123"/>
      <c r="F4" s="123"/>
      <c r="G4" s="123"/>
      <c r="H4" s="123"/>
      <c r="I4" s="123"/>
      <c r="J4" s="123"/>
      <c r="K4" s="124"/>
      <c r="L4" s="124"/>
      <c r="M4" s="125" t="s">
        <v>47</v>
      </c>
      <c r="N4" s="130" t="s">
        <v>98</v>
      </c>
      <c r="O4" s="186" t="s">
        <v>102</v>
      </c>
      <c r="AI4" s="115" t="e">
        <f>IF(#REF!="","",#REF!)</f>
        <v>#REF!</v>
      </c>
    </row>
    <row r="5" spans="1:37" ht="16.5" x14ac:dyDescent="0.3">
      <c r="A5" s="126" t="s">
        <v>10</v>
      </c>
      <c r="B5" s="127"/>
      <c r="C5" s="127"/>
      <c r="D5" s="123"/>
      <c r="E5" s="123"/>
      <c r="F5" s="123"/>
      <c r="G5" s="123"/>
      <c r="H5" s="123"/>
      <c r="I5" s="123"/>
      <c r="J5" s="123"/>
      <c r="K5" s="207"/>
      <c r="L5" s="207"/>
      <c r="M5" s="207"/>
      <c r="N5" s="208"/>
      <c r="O5" s="209"/>
      <c r="AI5" s="115" t="e">
        <f>IF(#REF!="","",#REF!)</f>
        <v>#REF!</v>
      </c>
    </row>
    <row r="6" spans="1:37" ht="16.5" x14ac:dyDescent="0.3">
      <c r="A6" s="126" t="s">
        <v>9</v>
      </c>
      <c r="B6" s="127"/>
      <c r="C6" s="127"/>
      <c r="D6" s="123"/>
      <c r="E6" s="123"/>
      <c r="F6" s="123"/>
      <c r="G6" s="123"/>
      <c r="H6" s="123"/>
      <c r="I6" s="123"/>
      <c r="J6" s="123"/>
      <c r="K6" s="123"/>
      <c r="L6" s="123"/>
      <c r="M6" s="123"/>
      <c r="N6" s="123"/>
      <c r="O6" s="131"/>
      <c r="AI6" s="115" t="e">
        <f>IF(#REF!="","",#REF!)</f>
        <v>#REF!</v>
      </c>
    </row>
    <row r="7" spans="1:37" ht="16.5" x14ac:dyDescent="0.3">
      <c r="A7" s="132"/>
      <c r="B7" s="133"/>
      <c r="C7" s="133"/>
      <c r="D7" s="123"/>
      <c r="E7" s="123"/>
      <c r="F7" s="123"/>
      <c r="G7" s="123"/>
      <c r="H7" s="123"/>
      <c r="I7" s="123"/>
      <c r="J7" s="123"/>
      <c r="K7" s="123"/>
      <c r="L7" s="123"/>
      <c r="M7" s="123"/>
      <c r="N7" s="123"/>
      <c r="O7" s="131"/>
      <c r="S7" s="51"/>
      <c r="T7" s="50"/>
      <c r="AI7" s="115" t="e">
        <f>IF(#REF!="","",#REF!)</f>
        <v>#REF!</v>
      </c>
    </row>
    <row r="8" spans="1:37" ht="17.25" thickBot="1" x14ac:dyDescent="0.35">
      <c r="A8" s="132"/>
      <c r="B8" s="133"/>
      <c r="C8" s="133"/>
      <c r="D8" s="133"/>
      <c r="E8" s="133"/>
      <c r="F8" s="133"/>
      <c r="G8" s="133"/>
      <c r="H8" s="133"/>
      <c r="I8" s="133"/>
      <c r="J8" s="133"/>
      <c r="K8" s="133"/>
      <c r="L8" s="133"/>
      <c r="M8" s="133"/>
      <c r="N8" s="133"/>
      <c r="O8" s="131"/>
      <c r="S8" s="51"/>
      <c r="T8" s="50"/>
      <c r="AI8" s="115" t="e">
        <f>IF(#REF!="","",#REF!)</f>
        <v>#REF!</v>
      </c>
    </row>
    <row r="9" spans="1:37" ht="17.25" thickBot="1" x14ac:dyDescent="0.35">
      <c r="A9" s="192" t="s">
        <v>1</v>
      </c>
      <c r="B9" s="193"/>
      <c r="C9" s="193"/>
      <c r="D9" s="193"/>
      <c r="E9" s="193"/>
      <c r="F9" s="193"/>
      <c r="G9" s="193"/>
      <c r="H9" s="193"/>
      <c r="I9" s="193"/>
      <c r="J9" s="193"/>
      <c r="K9" s="193"/>
      <c r="L9" s="193"/>
      <c r="M9" s="193"/>
      <c r="N9" s="193" t="s">
        <v>31</v>
      </c>
      <c r="O9" s="194"/>
      <c r="AI9" s="115" t="e">
        <f>IF(#REF!="","",#REF!)</f>
        <v>#REF!</v>
      </c>
    </row>
    <row r="10" spans="1:37" ht="16.5" x14ac:dyDescent="0.3">
      <c r="A10" s="210" t="s">
        <v>88</v>
      </c>
      <c r="B10" s="211"/>
      <c r="C10" s="211"/>
      <c r="D10" s="211"/>
      <c r="E10" s="123"/>
      <c r="F10" s="123"/>
      <c r="G10" s="123"/>
      <c r="H10" s="123"/>
      <c r="I10" s="123"/>
      <c r="J10" s="123"/>
      <c r="K10" s="123"/>
      <c r="L10" s="123"/>
      <c r="M10" s="212" t="s">
        <v>32</v>
      </c>
      <c r="N10" s="212"/>
      <c r="O10" s="134" t="s">
        <v>34</v>
      </c>
      <c r="AI10" s="115" t="e">
        <f>IF(#REF!="","",#REF!)</f>
        <v>#REF!</v>
      </c>
    </row>
    <row r="11" spans="1:37" ht="16.5" customHeight="1" x14ac:dyDescent="0.3">
      <c r="A11" s="213" t="s">
        <v>90</v>
      </c>
      <c r="B11" s="214"/>
      <c r="C11" s="214" t="e">
        <f>VLOOKUP(A10,#REF!,2,FALSE)</f>
        <v>#REF!</v>
      </c>
      <c r="D11" s="214"/>
      <c r="E11" s="123"/>
      <c r="F11" s="123"/>
      <c r="G11" s="123"/>
      <c r="H11" s="123"/>
      <c r="I11" s="123"/>
      <c r="J11" s="123"/>
      <c r="K11" s="123"/>
      <c r="L11" s="123"/>
      <c r="M11" s="212" t="s">
        <v>42</v>
      </c>
      <c r="N11" s="212"/>
      <c r="O11" s="134" t="s">
        <v>43</v>
      </c>
      <c r="AF11" t="s">
        <v>105</v>
      </c>
      <c r="AI11" s="115" t="e">
        <f>IF(#REF!="","",#REF!)</f>
        <v>#REF!</v>
      </c>
    </row>
    <row r="12" spans="1:37" ht="16.5" customHeight="1" x14ac:dyDescent="0.3">
      <c r="A12" s="126" t="e">
        <f>VLOOKUP(A10,#REF!,3,FALSE)</f>
        <v>#REF!</v>
      </c>
      <c r="B12" s="127"/>
      <c r="C12" s="127"/>
      <c r="D12" s="123"/>
      <c r="E12" s="123"/>
      <c r="F12" s="123"/>
      <c r="G12" s="123"/>
      <c r="H12" s="123"/>
      <c r="I12" s="123"/>
      <c r="J12" s="123"/>
      <c r="K12" s="123"/>
      <c r="L12" s="123"/>
      <c r="M12" s="212" t="s">
        <v>41</v>
      </c>
      <c r="N12" s="212"/>
      <c r="O12" s="135">
        <f xml:space="preserve"> M35</f>
        <v>19040</v>
      </c>
      <c r="AF12" t="s">
        <v>106</v>
      </c>
      <c r="AI12" s="115" t="e">
        <f>IF(#REF!="","",#REF!)</f>
        <v>#REF!</v>
      </c>
    </row>
    <row r="13" spans="1:37" ht="16.5" customHeight="1" x14ac:dyDescent="0.3">
      <c r="A13" s="126" t="s">
        <v>70</v>
      </c>
      <c r="B13" s="127" t="e">
        <f>VLOOKUP(A10,#REF!,4,FALSE)</f>
        <v>#REF!</v>
      </c>
      <c r="C13" s="127"/>
      <c r="D13" s="123"/>
      <c r="E13" s="123"/>
      <c r="F13" s="123"/>
      <c r="G13" s="123"/>
      <c r="H13" s="123"/>
      <c r="I13" s="123"/>
      <c r="J13" s="123"/>
      <c r="K13" s="123"/>
      <c r="L13" s="123"/>
      <c r="M13" s="212" t="s">
        <v>35</v>
      </c>
      <c r="N13" s="212"/>
      <c r="O13" s="136" t="str">
        <f>IF(I35=1,"Cartons",IF(I35=2,"Drums","Cartons &amp; Drums"))</f>
        <v>Drums</v>
      </c>
      <c r="Q13" s="215"/>
      <c r="R13" s="215"/>
      <c r="S13" s="195"/>
      <c r="T13" s="64"/>
      <c r="U13" s="65"/>
      <c r="AI13" s="115" t="e">
        <f>IF(#REF!="","",#REF!)</f>
        <v>#REF!</v>
      </c>
    </row>
    <row r="14" spans="1:37" ht="16.5" customHeight="1" x14ac:dyDescent="0.3">
      <c r="A14" s="137" t="s">
        <v>71</v>
      </c>
      <c r="B14" s="138" t="e">
        <f>VLOOKUP(A10,#REF!,5,FALSE)</f>
        <v>#REF!</v>
      </c>
      <c r="C14" s="127"/>
      <c r="D14" s="123"/>
      <c r="E14" s="123"/>
      <c r="F14" s="123"/>
      <c r="G14" s="123"/>
      <c r="H14" s="123"/>
      <c r="I14" s="123"/>
      <c r="J14" s="123"/>
      <c r="K14" s="123"/>
      <c r="L14" s="123"/>
      <c r="M14" s="212" t="s">
        <v>33</v>
      </c>
      <c r="N14" s="212"/>
      <c r="O14" s="136">
        <f>SUM(L17:L34)</f>
        <v>680</v>
      </c>
      <c r="Q14" s="215"/>
      <c r="R14" s="215"/>
      <c r="S14" s="195"/>
      <c r="T14" s="195"/>
      <c r="U14" s="66"/>
      <c r="AI14" s="115" t="e">
        <f>IF(#REF!="","",#REF!)</f>
        <v>#REF!</v>
      </c>
    </row>
    <row r="15" spans="1:37" ht="17.25" thickBot="1" x14ac:dyDescent="0.35">
      <c r="A15" s="132"/>
      <c r="B15" s="133"/>
      <c r="C15" s="138"/>
      <c r="D15" s="133"/>
      <c r="E15" s="133"/>
      <c r="F15" s="133"/>
      <c r="G15" s="133"/>
      <c r="H15" s="133"/>
      <c r="I15" s="133"/>
      <c r="J15" s="133"/>
      <c r="K15" s="133"/>
      <c r="L15" s="133"/>
      <c r="M15" s="212"/>
      <c r="N15" s="212"/>
      <c r="O15" s="134"/>
      <c r="AI15" s="115" t="e">
        <f>IF(#REF!="","",#REF!)</f>
        <v>#REF!</v>
      </c>
    </row>
    <row r="16" spans="1:37" ht="48.75" customHeight="1" thickBot="1" x14ac:dyDescent="0.35">
      <c r="A16" s="179" t="s">
        <v>17</v>
      </c>
      <c r="B16" s="216" t="s">
        <v>0</v>
      </c>
      <c r="C16" s="216"/>
      <c r="D16" s="216"/>
      <c r="E16" s="216" t="s">
        <v>39</v>
      </c>
      <c r="F16" s="216"/>
      <c r="G16" s="139" t="s">
        <v>18</v>
      </c>
      <c r="H16" s="139" t="s">
        <v>104</v>
      </c>
      <c r="I16" s="139"/>
      <c r="J16" s="140" t="s">
        <v>19</v>
      </c>
      <c r="K16" s="140" t="s">
        <v>20</v>
      </c>
      <c r="L16" s="139" t="s">
        <v>126</v>
      </c>
      <c r="M16" s="140" t="s">
        <v>143</v>
      </c>
      <c r="N16" s="139" t="s">
        <v>49</v>
      </c>
      <c r="O16" s="141" t="s">
        <v>50</v>
      </c>
      <c r="Q16" s="32" t="s">
        <v>72</v>
      </c>
      <c r="R16" s="32" t="s">
        <v>81</v>
      </c>
      <c r="S16" s="32" t="s">
        <v>94</v>
      </c>
      <c r="T16" s="32" t="s">
        <v>93</v>
      </c>
      <c r="U16" s="32" t="s">
        <v>73</v>
      </c>
      <c r="AA16" s="114"/>
      <c r="AI16" s="115" t="e">
        <f>IF(#REF!="","",#REF!)</f>
        <v>#REF!</v>
      </c>
    </row>
    <row r="17" spans="1:35" s="50" customFormat="1" ht="30" customHeight="1" thickBot="1" x14ac:dyDescent="0.35">
      <c r="A17" s="180">
        <v>4092</v>
      </c>
      <c r="B17" s="217" t="e">
        <f>IF(A17:A28="","",IF(N$4="sys/",VLOOKUP(A17:A28,#REF!,4,FALSE),VLOOKUP(A17:A28,#REF!,4,FALSE)))</f>
        <v>#REF!</v>
      </c>
      <c r="C17" s="218"/>
      <c r="D17" s="219"/>
      <c r="E17" s="220" t="e">
        <f>IF(A17:A28="","",IF(N$4="sys/",VLOOKUP(A17:A28,#REF!,7,FALSE),VLOOKUP(A17:A28,#REF!,7,FALSE)))</f>
        <v>#REF!</v>
      </c>
      <c r="F17" s="221"/>
      <c r="G17" s="117" t="e">
        <f>IF(A17:A28="","",IF(P$4="sys/",VLOOKUP(A17:A28,#REF!,9,FALSE),VLOOKUP(A17:A28,#REF!,9,FALSE)))</f>
        <v>#REF!</v>
      </c>
      <c r="H17" s="187" t="s">
        <v>106</v>
      </c>
      <c r="I17" s="117">
        <f>IF(H17="","",IF(H17="carton",1,2))</f>
        <v>2</v>
      </c>
      <c r="J17" s="142" t="e">
        <f>IF(A17:A28="","",IF(N$4="sys/",VLOOKUP(A17:A28,#REF!,8,FALSE),VLOOKUP(A17:A28,#REF!,8,FALSE)))</f>
        <v>#REF!</v>
      </c>
      <c r="K17" s="187">
        <v>15000</v>
      </c>
      <c r="L17" s="143">
        <f t="shared" ref="L17:L34" si="0">IF(A17=142,K17/10,IF(A17=8064,K17/20,K17/25))</f>
        <v>600</v>
      </c>
      <c r="M17" s="178">
        <f t="shared" ref="M17:M34" si="1">IF(A17="","",IF(H17="carton",(IF(A17=8064,(K17*21.5/20),(K17*26.5/25))),IF(H17="drum",IF(A17=142,(K17*13/10),K17*28/25))))</f>
        <v>16800</v>
      </c>
      <c r="N17" s="142" t="str">
        <f t="shared" ref="N17:N34" si="2">IF(Q17="","",FIXED(Q17-(O$37/K$35),2,1))</f>
        <v>26.24</v>
      </c>
      <c r="O17" s="144">
        <f>IF(K17="","",K17*N17)</f>
        <v>393600</v>
      </c>
      <c r="P17" s="49"/>
      <c r="Q17" s="181">
        <v>27.12</v>
      </c>
      <c r="R17" s="181"/>
      <c r="S17" s="73"/>
      <c r="T17" s="63"/>
      <c r="AA17" s="114"/>
      <c r="AI17" s="115" t="e">
        <f>IF(#REF!="","",#REF!)</f>
        <v>#REF!</v>
      </c>
    </row>
    <row r="18" spans="1:35" s="50" customFormat="1" ht="30" customHeight="1" thickBot="1" x14ac:dyDescent="0.35">
      <c r="A18" s="184">
        <v>102</v>
      </c>
      <c r="B18" s="222" t="e">
        <f>IF(A18:A35="","",IF(N$4="sys/",VLOOKUP(A18:A35,#REF!,4,FALSE),VLOOKUP(A18:A35,#REF!,4,FALSE)))</f>
        <v>#REF!</v>
      </c>
      <c r="C18" s="223"/>
      <c r="D18" s="224"/>
      <c r="E18" s="225" t="e">
        <f>IF(A18:A35="","",IF(N$4="sys/",VLOOKUP(A18:A35,#REF!,7,FALSE),VLOOKUP(A18:A35,#REF!,7,FALSE)))</f>
        <v>#REF!</v>
      </c>
      <c r="F18" s="226"/>
      <c r="G18" s="118" t="e">
        <f>IF(A18:A35="","",IF(P$4="sys/",VLOOKUP(A18:A35,#REF!,9,FALSE),VLOOKUP(A18:A35,#REF!,9,FALSE)))</f>
        <v>#REF!</v>
      </c>
      <c r="H18" s="188" t="s">
        <v>106</v>
      </c>
      <c r="I18" s="118">
        <f t="shared" ref="I18:I34" si="3">IF(H18="","",IF(H18="carton",1,2))</f>
        <v>2</v>
      </c>
      <c r="J18" s="145" t="e">
        <f>IF(A18:A35="","",IF(N$4="sys/",VLOOKUP(A18:A35,#REF!,8,FALSE),VLOOKUP(A18:A35,#REF!,8,FALSE)))</f>
        <v>#REF!</v>
      </c>
      <c r="K18" s="188">
        <v>2000</v>
      </c>
      <c r="L18" s="143">
        <f t="shared" si="0"/>
        <v>80</v>
      </c>
      <c r="M18" s="145">
        <f t="shared" si="1"/>
        <v>2240</v>
      </c>
      <c r="N18" s="145" t="str">
        <f t="shared" si="2"/>
        <v>26.05</v>
      </c>
      <c r="O18" s="146">
        <f t="shared" ref="O18:O34" si="4">IF(K18="","",K18*N18)</f>
        <v>52100</v>
      </c>
      <c r="P18" s="49"/>
      <c r="Q18" s="181">
        <v>26.93</v>
      </c>
      <c r="R18" s="181"/>
      <c r="S18" s="73"/>
      <c r="T18" s="63"/>
      <c r="AA18" s="114"/>
      <c r="AI18" s="115" t="e">
        <f>IF(#REF!="","",#REF!)</f>
        <v>#REF!</v>
      </c>
    </row>
    <row r="19" spans="1:35" s="50" customFormat="1" ht="30" customHeight="1" thickBot="1" x14ac:dyDescent="0.35">
      <c r="A19" s="184"/>
      <c r="B19" s="222" t="str">
        <f>IF(A19:A36="","",IF(N$4="sys/",VLOOKUP(A19:A36,#REF!,4,FALSE),VLOOKUP(A19:A36,#REF!,4,FALSE)))</f>
        <v/>
      </c>
      <c r="C19" s="223"/>
      <c r="D19" s="224"/>
      <c r="E19" s="225" t="str">
        <f>IF(A19:A36="","",IF(N$4="sys/",VLOOKUP(A19:A36,#REF!,7,FALSE),VLOOKUP(A19:A36,#REF!,7,FALSE)))</f>
        <v/>
      </c>
      <c r="F19" s="226"/>
      <c r="G19" s="118" t="str">
        <f>IF(A19:A36="","",IF(P$4="sys/",VLOOKUP(A19:A36,#REF!,9,FALSE),VLOOKUP(A19:A36,#REF!,9,FALSE)))</f>
        <v/>
      </c>
      <c r="H19" s="188"/>
      <c r="I19" s="118" t="str">
        <f t="shared" si="3"/>
        <v/>
      </c>
      <c r="J19" s="145" t="str">
        <f>IF(A19:A36="","",IF(N$4="sys/",VLOOKUP(A19:A36,#REF!,8,FALSE),VLOOKUP(A19:A36,#REF!,8,FALSE)))</f>
        <v/>
      </c>
      <c r="K19" s="188"/>
      <c r="L19" s="143">
        <f t="shared" si="0"/>
        <v>0</v>
      </c>
      <c r="M19" s="145" t="str">
        <f t="shared" si="1"/>
        <v/>
      </c>
      <c r="N19" s="145" t="str">
        <f t="shared" si="2"/>
        <v/>
      </c>
      <c r="O19" s="146" t="str">
        <f t="shared" si="4"/>
        <v/>
      </c>
      <c r="P19" s="49"/>
      <c r="Q19" s="181"/>
      <c r="R19" s="181"/>
      <c r="S19" s="73"/>
      <c r="T19" s="63"/>
      <c r="AA19" s="114"/>
      <c r="AI19" s="115" t="e">
        <f>IF(#REF!="","",#REF!)</f>
        <v>#REF!</v>
      </c>
    </row>
    <row r="20" spans="1:35" s="50" customFormat="1" ht="30" customHeight="1" thickBot="1" x14ac:dyDescent="0.35">
      <c r="A20" s="184"/>
      <c r="B20" s="222" t="str">
        <f>IF(A20:A37="","",IF(N$4="sys/",VLOOKUP(A20:A37,#REF!,4,FALSE),VLOOKUP(A20:A37,#REF!,4,FALSE)))</f>
        <v/>
      </c>
      <c r="C20" s="223"/>
      <c r="D20" s="224"/>
      <c r="E20" s="225" t="str">
        <f>IF(A20:A37="","",IF(N$4="sys/",VLOOKUP(A20:A37,#REF!,7,FALSE),VLOOKUP(A20:A37,#REF!,7,FALSE)))</f>
        <v/>
      </c>
      <c r="F20" s="226"/>
      <c r="G20" s="118" t="str">
        <f>IF(A20:A37="","",IF(P$4="sys/",VLOOKUP(A20:A37,#REF!,9,FALSE),VLOOKUP(A20:A37,#REF!,9,FALSE)))</f>
        <v/>
      </c>
      <c r="H20" s="188"/>
      <c r="I20" s="118" t="str">
        <f t="shared" si="3"/>
        <v/>
      </c>
      <c r="J20" s="145" t="str">
        <f>IF(A20:A37="","",IF(N$4="sys/",VLOOKUP(A20:A37,#REF!,8,FALSE),VLOOKUP(A20:A37,#REF!,8,FALSE)))</f>
        <v/>
      </c>
      <c r="K20" s="188"/>
      <c r="L20" s="143">
        <f t="shared" si="0"/>
        <v>0</v>
      </c>
      <c r="M20" s="145" t="str">
        <f t="shared" si="1"/>
        <v/>
      </c>
      <c r="N20" s="145" t="str">
        <f t="shared" si="2"/>
        <v/>
      </c>
      <c r="O20" s="146" t="str">
        <f t="shared" si="4"/>
        <v/>
      </c>
      <c r="P20" s="49"/>
      <c r="Q20" s="181"/>
      <c r="R20" s="181"/>
      <c r="S20" s="73"/>
      <c r="T20" s="63"/>
      <c r="AA20" s="114"/>
      <c r="AI20" s="115" t="e">
        <f>IF(#REF!="","",#REF!)</f>
        <v>#REF!</v>
      </c>
    </row>
    <row r="21" spans="1:35" s="50" customFormat="1" ht="30" customHeight="1" thickBot="1" x14ac:dyDescent="0.35">
      <c r="A21" s="184"/>
      <c r="B21" s="222" t="str">
        <f>IF(A21:A38="","",IF(N$4="sys/",VLOOKUP(A21:A38,#REF!,4,FALSE),VLOOKUP(A21:A38,#REF!,4,FALSE)))</f>
        <v/>
      </c>
      <c r="C21" s="223"/>
      <c r="D21" s="224"/>
      <c r="E21" s="225" t="str">
        <f>IF(A21:A38="","",IF(N$4="sys/",VLOOKUP(A21:A38,#REF!,7,FALSE),VLOOKUP(A21:A38,#REF!,7,FALSE)))</f>
        <v/>
      </c>
      <c r="F21" s="226"/>
      <c r="G21" s="118" t="str">
        <f>IF(A21:A38="","",IF(P$4="sys/",VLOOKUP(A21:A38,#REF!,9,FALSE),VLOOKUP(A21:A38,#REF!,9,FALSE)))</f>
        <v/>
      </c>
      <c r="H21" s="188"/>
      <c r="I21" s="118" t="str">
        <f t="shared" si="3"/>
        <v/>
      </c>
      <c r="J21" s="145" t="str">
        <f>IF(A21:A38="","",IF(N$4="sys/",VLOOKUP(A21:A38,#REF!,8,FALSE),VLOOKUP(A21:A38,#REF!,8,FALSE)))</f>
        <v/>
      </c>
      <c r="K21" s="188"/>
      <c r="L21" s="143">
        <f t="shared" si="0"/>
        <v>0</v>
      </c>
      <c r="M21" s="145" t="str">
        <f t="shared" si="1"/>
        <v/>
      </c>
      <c r="N21" s="145" t="str">
        <f t="shared" si="2"/>
        <v/>
      </c>
      <c r="O21" s="146" t="str">
        <f t="shared" si="4"/>
        <v/>
      </c>
      <c r="P21" s="49"/>
      <c r="Q21" s="182"/>
      <c r="R21" s="182"/>
      <c r="S21" s="73"/>
      <c r="T21" s="63"/>
      <c r="AA21" s="114"/>
      <c r="AI21" s="115" t="e">
        <f>IF(#REF!="","",#REF!)</f>
        <v>#REF!</v>
      </c>
    </row>
    <row r="22" spans="1:35" s="50" customFormat="1" ht="30" customHeight="1" thickBot="1" x14ac:dyDescent="0.35">
      <c r="A22" s="184"/>
      <c r="B22" s="222" t="str">
        <f>IF(A22:A39="","",IF(N$4="sys/",VLOOKUP(A22:A39,#REF!,4,FALSE),VLOOKUP(A22:A39,#REF!,4,FALSE)))</f>
        <v/>
      </c>
      <c r="C22" s="223"/>
      <c r="D22" s="224"/>
      <c r="E22" s="225" t="str">
        <f>IF(A22:A39="","",IF(N$4="sys/",VLOOKUP(A22:A39,#REF!,7,FALSE),VLOOKUP(A22:A39,#REF!,7,FALSE)))</f>
        <v/>
      </c>
      <c r="F22" s="226"/>
      <c r="G22" s="118" t="str">
        <f>IF(A22:A39="","",IF(P$4="sys/",VLOOKUP(A22:A39,#REF!,9,FALSE),VLOOKUP(A22:A39,#REF!,9,FALSE)))</f>
        <v/>
      </c>
      <c r="H22" s="188"/>
      <c r="I22" s="118" t="str">
        <f t="shared" si="3"/>
        <v/>
      </c>
      <c r="J22" s="145" t="str">
        <f>IF(A22:A39="","",IF(N$4="sys/",VLOOKUP(A22:A39,#REF!,8,FALSE),VLOOKUP(A22:A39,#REF!,8,FALSE)))</f>
        <v/>
      </c>
      <c r="K22" s="188"/>
      <c r="L22" s="143">
        <f t="shared" si="0"/>
        <v>0</v>
      </c>
      <c r="M22" s="145" t="str">
        <f t="shared" si="1"/>
        <v/>
      </c>
      <c r="N22" s="145" t="str">
        <f t="shared" si="2"/>
        <v/>
      </c>
      <c r="O22" s="146" t="str">
        <f t="shared" si="4"/>
        <v/>
      </c>
      <c r="P22" s="49"/>
      <c r="Q22" s="189"/>
      <c r="R22" s="189"/>
      <c r="S22" s="73"/>
      <c r="T22" s="71"/>
      <c r="AA22" s="114"/>
      <c r="AI22" s="115" t="e">
        <f>IF(#REF!="","",#REF!)</f>
        <v>#REF!</v>
      </c>
    </row>
    <row r="23" spans="1:35" s="50" customFormat="1" ht="30" customHeight="1" thickBot="1" x14ac:dyDescent="0.35">
      <c r="A23" s="184"/>
      <c r="B23" s="222" t="str">
        <f>IF(A23:A40="","",IF(N$4="sys/",VLOOKUP(A23:A40,#REF!,4,FALSE),VLOOKUP(A23:A40,#REF!,4,FALSE)))</f>
        <v/>
      </c>
      <c r="C23" s="223"/>
      <c r="D23" s="224"/>
      <c r="E23" s="225" t="str">
        <f>IF(A23:A40="","",IF(N$4="sys/",VLOOKUP(A23:A40,#REF!,7,FALSE),VLOOKUP(A23:A40,#REF!,7,FALSE)))</f>
        <v/>
      </c>
      <c r="F23" s="226"/>
      <c r="G23" s="118" t="str">
        <f>IF(A23:A40="","",IF(P$4="sys/",VLOOKUP(A23:A40,#REF!,9,FALSE),VLOOKUP(A23:A40,#REF!,9,FALSE)))</f>
        <v/>
      </c>
      <c r="H23" s="188"/>
      <c r="I23" s="118" t="str">
        <f t="shared" si="3"/>
        <v/>
      </c>
      <c r="J23" s="145" t="str">
        <f>IF(A23:A40="","",IF(N$4="sys/",VLOOKUP(A23:A40,#REF!,8,FALSE),VLOOKUP(A23:A40,#REF!,8,FALSE)))</f>
        <v/>
      </c>
      <c r="K23" s="188"/>
      <c r="L23" s="143">
        <f t="shared" si="0"/>
        <v>0</v>
      </c>
      <c r="M23" s="145" t="str">
        <f t="shared" si="1"/>
        <v/>
      </c>
      <c r="N23" s="145" t="str">
        <f t="shared" si="2"/>
        <v/>
      </c>
      <c r="O23" s="146" t="str">
        <f t="shared" si="4"/>
        <v/>
      </c>
      <c r="P23" s="49"/>
      <c r="Q23" s="189"/>
      <c r="R23" s="189"/>
      <c r="S23" s="73"/>
      <c r="T23" s="71"/>
      <c r="AI23" s="115" t="e">
        <f>IF(#REF!="","",#REF!)</f>
        <v>#REF!</v>
      </c>
    </row>
    <row r="24" spans="1:35" s="50" customFormat="1" ht="30" customHeight="1" thickBot="1" x14ac:dyDescent="0.35">
      <c r="A24" s="184"/>
      <c r="B24" s="222" t="str">
        <f>IF(A24:A41="","",IF(N$4="sys/",VLOOKUP(A24:A41,#REF!,4,FALSE),VLOOKUP(A24:A41,#REF!,4,FALSE)))</f>
        <v/>
      </c>
      <c r="C24" s="223"/>
      <c r="D24" s="224"/>
      <c r="E24" s="225" t="str">
        <f>IF(A24:A41="","",IF(N$4="sys/",VLOOKUP(A24:A41,#REF!,7,FALSE),VLOOKUP(A24:A41,#REF!,7,FALSE)))</f>
        <v/>
      </c>
      <c r="F24" s="226"/>
      <c r="G24" s="118" t="str">
        <f>IF(A24:A41="","",IF(P$4="sys/",VLOOKUP(A24:A41,#REF!,9,FALSE),VLOOKUP(A24:A41,#REF!,9,FALSE)))</f>
        <v/>
      </c>
      <c r="H24" s="188"/>
      <c r="I24" s="118" t="str">
        <f t="shared" si="3"/>
        <v/>
      </c>
      <c r="J24" s="145" t="str">
        <f>IF(A24:A41="","",IF(N$4="sys/",VLOOKUP(A24:A41,#REF!,8,FALSE),VLOOKUP(A24:A41,#REF!,8,FALSE)))</f>
        <v/>
      </c>
      <c r="K24" s="188"/>
      <c r="L24" s="143">
        <f t="shared" si="0"/>
        <v>0</v>
      </c>
      <c r="M24" s="145" t="str">
        <f t="shared" si="1"/>
        <v/>
      </c>
      <c r="N24" s="145" t="str">
        <f t="shared" si="2"/>
        <v/>
      </c>
      <c r="O24" s="146" t="str">
        <f t="shared" si="4"/>
        <v/>
      </c>
      <c r="P24" s="49"/>
      <c r="Q24" s="189"/>
      <c r="R24" s="189"/>
      <c r="S24" s="73"/>
      <c r="T24" s="71"/>
      <c r="AI24" s="115" t="e">
        <f>IF(#REF!="","",#REF!)</f>
        <v>#REF!</v>
      </c>
    </row>
    <row r="25" spans="1:35" s="50" customFormat="1" ht="30" customHeight="1" thickBot="1" x14ac:dyDescent="0.35">
      <c r="A25" s="184"/>
      <c r="B25" s="222" t="str">
        <f>IF(A25:A42="","",IF(N$4="sys/",VLOOKUP(A25:A42,#REF!,4,FALSE),VLOOKUP(A25:A42,#REF!,4,FALSE)))</f>
        <v/>
      </c>
      <c r="C25" s="223"/>
      <c r="D25" s="224"/>
      <c r="E25" s="225" t="str">
        <f>IF(A25:A42="","",IF(N$4="sys/",VLOOKUP(A25:A42,#REF!,7,FALSE),VLOOKUP(A25:A42,#REF!,7,FALSE)))</f>
        <v/>
      </c>
      <c r="F25" s="226"/>
      <c r="G25" s="118" t="str">
        <f>IF(A25:A42="","",IF(P$4="sys/",VLOOKUP(A25:A42,#REF!,9,FALSE),VLOOKUP(A25:A42,#REF!,9,FALSE)))</f>
        <v/>
      </c>
      <c r="H25" s="188"/>
      <c r="I25" s="118" t="str">
        <f t="shared" si="3"/>
        <v/>
      </c>
      <c r="J25" s="145" t="str">
        <f>IF(A25:A42="","",IF(N$4="sys/",VLOOKUP(A25:A42,#REF!,8,FALSE),VLOOKUP(A25:A42,#REF!,8,FALSE)))</f>
        <v/>
      </c>
      <c r="K25" s="188"/>
      <c r="L25" s="143">
        <f t="shared" si="0"/>
        <v>0</v>
      </c>
      <c r="M25" s="145" t="str">
        <f t="shared" si="1"/>
        <v/>
      </c>
      <c r="N25" s="145" t="str">
        <f t="shared" si="2"/>
        <v/>
      </c>
      <c r="O25" s="146" t="str">
        <f t="shared" si="4"/>
        <v/>
      </c>
      <c r="P25" s="49"/>
      <c r="Q25" s="189"/>
      <c r="R25" s="189"/>
      <c r="S25" s="73"/>
      <c r="U25" s="50">
        <f t="shared" ref="U25:U30" si="5">Q25*K25*T25</f>
        <v>0</v>
      </c>
      <c r="AI25" s="115" t="e">
        <f>IF(#REF!="","",#REF!)</f>
        <v>#REF!</v>
      </c>
    </row>
    <row r="26" spans="1:35" s="50" customFormat="1" ht="30.75" customHeight="1" thickBot="1" x14ac:dyDescent="0.35">
      <c r="A26" s="184"/>
      <c r="B26" s="222" t="str">
        <f>IF(A26:A43="","",IF(N$4="sys/",VLOOKUP(A26:A43,#REF!,4,FALSE),VLOOKUP(A26:A43,#REF!,4,FALSE)))</f>
        <v/>
      </c>
      <c r="C26" s="223"/>
      <c r="D26" s="224"/>
      <c r="E26" s="225" t="str">
        <f>IF(A26:A43="","",IF(N$4="sys/",VLOOKUP(A26:A43,#REF!,7,FALSE),VLOOKUP(A26:A43,#REF!,7,FALSE)))</f>
        <v/>
      </c>
      <c r="F26" s="226"/>
      <c r="G26" s="118" t="str">
        <f>IF(A26:A43="","",IF(P$4="sys/",VLOOKUP(A26:A43,#REF!,9,FALSE),VLOOKUP(A26:A43,#REF!,9,FALSE)))</f>
        <v/>
      </c>
      <c r="H26" s="188"/>
      <c r="I26" s="118" t="str">
        <f t="shared" si="3"/>
        <v/>
      </c>
      <c r="J26" s="145" t="str">
        <f>IF(A26:A43="","",IF(N$4="sys/",VLOOKUP(A26:A43,#REF!,8,FALSE),VLOOKUP(A26:A43,#REF!,8,FALSE)))</f>
        <v/>
      </c>
      <c r="K26" s="188"/>
      <c r="L26" s="143">
        <f t="shared" si="0"/>
        <v>0</v>
      </c>
      <c r="M26" s="145" t="str">
        <f t="shared" si="1"/>
        <v/>
      </c>
      <c r="N26" s="145" t="str">
        <f t="shared" si="2"/>
        <v/>
      </c>
      <c r="O26" s="146" t="str">
        <f t="shared" si="4"/>
        <v/>
      </c>
      <c r="P26" s="49"/>
      <c r="Q26" s="189"/>
      <c r="R26" s="189"/>
      <c r="S26" s="73"/>
      <c r="U26" s="50">
        <f t="shared" si="5"/>
        <v>0</v>
      </c>
      <c r="AI26" s="115" t="e">
        <f>IF(#REF!="","",#REF!)</f>
        <v>#REF!</v>
      </c>
    </row>
    <row r="27" spans="1:35" s="50" customFormat="1" ht="30" customHeight="1" thickBot="1" x14ac:dyDescent="0.35">
      <c r="A27" s="184"/>
      <c r="B27" s="222" t="str">
        <f>IF(A27:A44="","",IF(N$4="sys/",VLOOKUP(A27:A44,#REF!,4,FALSE),VLOOKUP(A27:A44,#REF!,4,FALSE)))</f>
        <v/>
      </c>
      <c r="C27" s="223"/>
      <c r="D27" s="224"/>
      <c r="E27" s="225" t="str">
        <f>IF(A27:A44="","",IF(N$4="sys/",VLOOKUP(A27:A44,#REF!,7,FALSE),VLOOKUP(A27:A44,#REF!,7,FALSE)))</f>
        <v/>
      </c>
      <c r="F27" s="226"/>
      <c r="G27" s="118" t="str">
        <f>IF(A27:A44="","",IF(P$4="sys/",VLOOKUP(A27:A44,#REF!,9,FALSE),VLOOKUP(A27:A44,#REF!,9,FALSE)))</f>
        <v/>
      </c>
      <c r="H27" s="188"/>
      <c r="I27" s="118" t="str">
        <f t="shared" si="3"/>
        <v/>
      </c>
      <c r="J27" s="145" t="str">
        <f>IF(A27:A44="","",IF(N$4="sys/",VLOOKUP(A27:A44,#REF!,8,FALSE),VLOOKUP(A27:A44,#REF!,8,FALSE)))</f>
        <v/>
      </c>
      <c r="K27" s="188"/>
      <c r="L27" s="143">
        <f t="shared" si="0"/>
        <v>0</v>
      </c>
      <c r="M27" s="145" t="str">
        <f t="shared" si="1"/>
        <v/>
      </c>
      <c r="N27" s="145" t="str">
        <f t="shared" si="2"/>
        <v/>
      </c>
      <c r="O27" s="146" t="str">
        <f t="shared" si="4"/>
        <v/>
      </c>
      <c r="P27" s="49"/>
      <c r="Q27" s="189"/>
      <c r="R27" s="189"/>
      <c r="S27" s="73"/>
      <c r="U27" s="50">
        <f t="shared" si="5"/>
        <v>0</v>
      </c>
      <c r="AI27" s="115" t="e">
        <f>IF(#REF!="","",#REF!)</f>
        <v>#REF!</v>
      </c>
    </row>
    <row r="28" spans="1:35" s="50" customFormat="1" ht="30" customHeight="1" thickBot="1" x14ac:dyDescent="0.35">
      <c r="A28" s="184"/>
      <c r="B28" s="222" t="str">
        <f>IF(A28:A45="","",IF(N$4="sys/",VLOOKUP(A28:A45,#REF!,4,FALSE),VLOOKUP(A28:A45,#REF!,4,FALSE)))</f>
        <v/>
      </c>
      <c r="C28" s="223"/>
      <c r="D28" s="224"/>
      <c r="E28" s="225" t="str">
        <f>IF(A28:A45="","",IF(N$4="sys/",VLOOKUP(A28:A45,#REF!,7,FALSE),VLOOKUP(A28:A45,#REF!,7,FALSE)))</f>
        <v/>
      </c>
      <c r="F28" s="226"/>
      <c r="G28" s="118" t="str">
        <f>IF(A28:A45="","",IF(P$4="sys/",VLOOKUP(A28:A45,#REF!,9,FALSE),VLOOKUP(A28:A45,#REF!,9,FALSE)))</f>
        <v/>
      </c>
      <c r="H28" s="188"/>
      <c r="I28" s="118" t="str">
        <f t="shared" si="3"/>
        <v/>
      </c>
      <c r="J28" s="145" t="str">
        <f>IF(A28:A45="","",IF(N$4="sys/",VLOOKUP(A28:A45,#REF!,8,FALSE),VLOOKUP(A28:A45,#REF!,8,FALSE)))</f>
        <v/>
      </c>
      <c r="K28" s="188"/>
      <c r="L28" s="143">
        <f t="shared" si="0"/>
        <v>0</v>
      </c>
      <c r="M28" s="145" t="str">
        <f t="shared" si="1"/>
        <v/>
      </c>
      <c r="N28" s="145" t="str">
        <f t="shared" si="2"/>
        <v/>
      </c>
      <c r="O28" s="146" t="str">
        <f t="shared" si="4"/>
        <v/>
      </c>
      <c r="P28" s="49"/>
      <c r="Q28" s="190"/>
      <c r="R28" s="190"/>
      <c r="S28" s="73"/>
      <c r="T28" s="63"/>
      <c r="U28" s="50">
        <f t="shared" si="5"/>
        <v>0</v>
      </c>
    </row>
    <row r="29" spans="1:35" s="50" customFormat="1" ht="30" customHeight="1" thickBot="1" x14ac:dyDescent="0.35">
      <c r="A29" s="184"/>
      <c r="B29" s="222" t="str">
        <f>IF(A29:A46="","",IF(N$4="sys/",VLOOKUP(A29:A46,#REF!,4,FALSE),VLOOKUP(A29:A46,#REF!,4,FALSE)))</f>
        <v/>
      </c>
      <c r="C29" s="223"/>
      <c r="D29" s="224"/>
      <c r="E29" s="225" t="str">
        <f>IF(A29:A46="","",IF(N$4="sys/",VLOOKUP(A29:A46,#REF!,7,FALSE),VLOOKUP(A29:A46,#REF!,7,FALSE)))</f>
        <v/>
      </c>
      <c r="F29" s="226"/>
      <c r="G29" s="118" t="str">
        <f>IF(A29:A46="","",IF(P$4="sys/",VLOOKUP(A29:A46,#REF!,9,FALSE),VLOOKUP(A29:A46,#REF!,9,FALSE)))</f>
        <v/>
      </c>
      <c r="H29" s="188"/>
      <c r="I29" s="118" t="str">
        <f t="shared" si="3"/>
        <v/>
      </c>
      <c r="J29" s="145" t="str">
        <f>IF(A29:A46="","",IF(N$4="sys/",VLOOKUP(A29:A46,#REF!,8,FALSE),VLOOKUP(A29:A46,#REF!,8,FALSE)))</f>
        <v/>
      </c>
      <c r="K29" s="188"/>
      <c r="L29" s="143">
        <f t="shared" si="0"/>
        <v>0</v>
      </c>
      <c r="M29" s="145" t="str">
        <f t="shared" si="1"/>
        <v/>
      </c>
      <c r="N29" s="145" t="str">
        <f t="shared" si="2"/>
        <v/>
      </c>
      <c r="O29" s="146" t="str">
        <f t="shared" si="4"/>
        <v/>
      </c>
      <c r="P29" s="49"/>
      <c r="Q29" s="190"/>
      <c r="R29" s="190"/>
      <c r="S29" s="73"/>
      <c r="T29" s="63"/>
      <c r="U29" s="50">
        <f t="shared" si="5"/>
        <v>0</v>
      </c>
    </row>
    <row r="30" spans="1:35" s="50" customFormat="1" ht="30" customHeight="1" thickBot="1" x14ac:dyDescent="0.35">
      <c r="A30" s="184"/>
      <c r="B30" s="222" t="str">
        <f>IF(A30:A47="","",IF(N$4="sys/",VLOOKUP(A30:A47,#REF!,4,FALSE),VLOOKUP(A30:A47,#REF!,4,FALSE)))</f>
        <v/>
      </c>
      <c r="C30" s="223"/>
      <c r="D30" s="224"/>
      <c r="E30" s="225" t="str">
        <f>IF(A30:A47="","",IF(N$4="sys/",VLOOKUP(A30:A47,#REF!,7,FALSE),VLOOKUP(A30:A47,#REF!,7,FALSE)))</f>
        <v/>
      </c>
      <c r="F30" s="226"/>
      <c r="G30" s="118" t="str">
        <f>IF(A30:A47="","",IF(P$4="sys/",VLOOKUP(A30:A47,#REF!,9,FALSE),VLOOKUP(A30:A47,#REF!,9,FALSE)))</f>
        <v/>
      </c>
      <c r="H30" s="188"/>
      <c r="I30" s="118" t="str">
        <f t="shared" si="3"/>
        <v/>
      </c>
      <c r="J30" s="145" t="str">
        <f>IF(A30:A47="","",IF(N$4="sys/",VLOOKUP(A30:A47,#REF!,8,FALSE),VLOOKUP(A30:A47,#REF!,8,FALSE)))</f>
        <v/>
      </c>
      <c r="K30" s="188"/>
      <c r="L30" s="143">
        <f t="shared" si="0"/>
        <v>0</v>
      </c>
      <c r="M30" s="145" t="str">
        <f t="shared" si="1"/>
        <v/>
      </c>
      <c r="N30" s="145" t="str">
        <f t="shared" si="2"/>
        <v/>
      </c>
      <c r="O30" s="146" t="str">
        <f t="shared" si="4"/>
        <v/>
      </c>
      <c r="P30" s="49"/>
      <c r="Q30" s="190"/>
      <c r="R30" s="190"/>
      <c r="S30" s="73"/>
      <c r="T30" s="63"/>
      <c r="U30" s="50">
        <f t="shared" si="5"/>
        <v>0</v>
      </c>
    </row>
    <row r="31" spans="1:35" s="50" customFormat="1" ht="30" customHeight="1" thickBot="1" x14ac:dyDescent="0.35">
      <c r="A31" s="184"/>
      <c r="B31" s="222" t="str">
        <f>IF(A31:A48="","",IF(N$4="sys/",VLOOKUP(A31:A48,#REF!,4,FALSE),VLOOKUP(A31:A48,#REF!,4,FALSE)))</f>
        <v/>
      </c>
      <c r="C31" s="223"/>
      <c r="D31" s="224"/>
      <c r="E31" s="225" t="str">
        <f>IF(A31:A48="","",IF(N$4="sys/",VLOOKUP(A31:A48,#REF!,7,FALSE),VLOOKUP(A31:A48,#REF!,7,FALSE)))</f>
        <v/>
      </c>
      <c r="F31" s="226"/>
      <c r="G31" s="118" t="str">
        <f>IF(A31:A48="","",IF(P$4="sys/",VLOOKUP(A31:A48,#REF!,9,FALSE),VLOOKUP(A31:A48,#REF!,9,FALSE)))</f>
        <v/>
      </c>
      <c r="H31" s="188"/>
      <c r="I31" s="118" t="str">
        <f t="shared" si="3"/>
        <v/>
      </c>
      <c r="J31" s="145" t="str">
        <f>IF(A31:A48="","",IF(N$4="sys/",VLOOKUP(A31:A48,#REF!,8,FALSE),VLOOKUP(A31:A48,#REF!,8,FALSE)))</f>
        <v/>
      </c>
      <c r="K31" s="188"/>
      <c r="L31" s="143">
        <f t="shared" si="0"/>
        <v>0</v>
      </c>
      <c r="M31" s="145" t="str">
        <f t="shared" si="1"/>
        <v/>
      </c>
      <c r="N31" s="145" t="str">
        <f t="shared" si="2"/>
        <v/>
      </c>
      <c r="O31" s="146" t="str">
        <f t="shared" si="4"/>
        <v/>
      </c>
      <c r="P31" s="49"/>
      <c r="Q31" s="190"/>
      <c r="R31" s="116"/>
      <c r="T31" s="63"/>
      <c r="U31" s="50">
        <f>SUM(U17:U30)</f>
        <v>0</v>
      </c>
    </row>
    <row r="32" spans="1:35" s="50" customFormat="1" ht="30" customHeight="1" thickBot="1" x14ac:dyDescent="0.35">
      <c r="A32" s="184"/>
      <c r="B32" s="222" t="str">
        <f>IF(A32:A49="","",IF(N$4="sys/",VLOOKUP(A32:A49,#REF!,4,FALSE),VLOOKUP(A32:A49,#REF!,4,FALSE)))</f>
        <v/>
      </c>
      <c r="C32" s="223"/>
      <c r="D32" s="224"/>
      <c r="E32" s="225" t="str">
        <f>IF(A32:A49="","",IF(N$4="sys/",VLOOKUP(A32:A49,#REF!,7,FALSE),VLOOKUP(A32:A49,#REF!,7,FALSE)))</f>
        <v/>
      </c>
      <c r="F32" s="226"/>
      <c r="G32" s="118" t="str">
        <f>IF(A32:A49="","",IF(P$4="sys/",VLOOKUP(A32:A49,#REF!,9,FALSE),VLOOKUP(A32:A49,#REF!,9,FALSE)))</f>
        <v/>
      </c>
      <c r="H32" s="188"/>
      <c r="I32" s="118" t="str">
        <f t="shared" si="3"/>
        <v/>
      </c>
      <c r="J32" s="145" t="str">
        <f>IF(A32:A49="","",IF(N$4="sys/",VLOOKUP(A32:A49,#REF!,8,FALSE),VLOOKUP(A32:A49,#REF!,8,FALSE)))</f>
        <v/>
      </c>
      <c r="K32" s="188"/>
      <c r="L32" s="143">
        <f t="shared" si="0"/>
        <v>0</v>
      </c>
      <c r="M32" s="145" t="str">
        <f t="shared" si="1"/>
        <v/>
      </c>
      <c r="N32" s="145" t="str">
        <f t="shared" si="2"/>
        <v/>
      </c>
      <c r="O32" s="146" t="str">
        <f t="shared" si="4"/>
        <v/>
      </c>
      <c r="P32" s="49"/>
      <c r="Q32" s="190"/>
      <c r="R32" s="116"/>
      <c r="T32" s="63"/>
      <c r="U32" s="191">
        <f>SUM(U17:U30)/O44</f>
        <v>0</v>
      </c>
    </row>
    <row r="33" spans="1:35" s="50" customFormat="1" ht="30" customHeight="1" thickBot="1" x14ac:dyDescent="0.35">
      <c r="A33" s="184"/>
      <c r="B33" s="222" t="str">
        <f>IF(A33:A50="","",IF(N$4="sys/",VLOOKUP(A33:A50,#REF!,4,FALSE),VLOOKUP(A33:A50,#REF!,4,FALSE)))</f>
        <v/>
      </c>
      <c r="C33" s="223"/>
      <c r="D33" s="224"/>
      <c r="E33" s="225" t="str">
        <f>IF(A33:A50="","",IF(N$4="sys/",VLOOKUP(A33:A50,#REF!,7,FALSE),VLOOKUP(A33:A50,#REF!,7,FALSE)))</f>
        <v/>
      </c>
      <c r="F33" s="226"/>
      <c r="G33" s="118" t="str">
        <f>IF(A33:A50="","",IF(P$4="sys/",VLOOKUP(A33:A50,#REF!,9,FALSE),VLOOKUP(A33:A50,#REF!,9,FALSE)))</f>
        <v/>
      </c>
      <c r="H33" s="188"/>
      <c r="I33" s="118" t="str">
        <f t="shared" si="3"/>
        <v/>
      </c>
      <c r="J33" s="145" t="str">
        <f>IF(A33:A50="","",IF(N$4="sys/",VLOOKUP(A33:A50,#REF!,8,FALSE),VLOOKUP(A33:A50,#REF!,8,FALSE)))</f>
        <v/>
      </c>
      <c r="K33" s="188"/>
      <c r="L33" s="143">
        <f t="shared" si="0"/>
        <v>0</v>
      </c>
      <c r="M33" s="145" t="str">
        <f t="shared" si="1"/>
        <v/>
      </c>
      <c r="N33" s="145" t="str">
        <f t="shared" si="2"/>
        <v/>
      </c>
      <c r="O33" s="146" t="str">
        <f t="shared" si="4"/>
        <v/>
      </c>
      <c r="P33" s="49"/>
      <c r="Q33" s="190"/>
      <c r="R33" s="116"/>
      <c r="T33" s="63"/>
      <c r="AI33"/>
    </row>
    <row r="34" spans="1:35" s="50" customFormat="1" ht="30" customHeight="1" thickBot="1" x14ac:dyDescent="0.35">
      <c r="A34" s="185"/>
      <c r="B34" s="222" t="str">
        <f>IF(A34:A51="","",IF(N$4="sys/",VLOOKUP(A34:A51,#REF!,4,FALSE),VLOOKUP(A34:A51,#REF!,4,FALSE)))</f>
        <v/>
      </c>
      <c r="C34" s="223"/>
      <c r="D34" s="224"/>
      <c r="E34" s="225" t="str">
        <f>IF(A34:A51="","",IF(N$4="sys/",VLOOKUP(A34:A51,#REF!,7,FALSE),VLOOKUP(A34:A51,#REF!,7,FALSE)))</f>
        <v/>
      </c>
      <c r="F34" s="226"/>
      <c r="G34" s="118" t="str">
        <f>IF(A34:A51="","",IF(P$4="sys/",VLOOKUP(A34:A51,#REF!,9,FALSE),VLOOKUP(A34:A51,#REF!,9,FALSE)))</f>
        <v/>
      </c>
      <c r="H34" s="188"/>
      <c r="I34" s="118" t="str">
        <f t="shared" si="3"/>
        <v/>
      </c>
      <c r="J34" s="145" t="str">
        <f>IF(A34:A51="","",IF(N$4="sys/",VLOOKUP(A34:A51,#REF!,8,FALSE),VLOOKUP(A34:A51,#REF!,8,FALSE)))</f>
        <v/>
      </c>
      <c r="K34" s="188"/>
      <c r="L34" s="143">
        <f t="shared" si="0"/>
        <v>0</v>
      </c>
      <c r="M34" s="145" t="str">
        <f t="shared" si="1"/>
        <v/>
      </c>
      <c r="N34" s="145" t="str">
        <f t="shared" si="2"/>
        <v/>
      </c>
      <c r="O34" s="146" t="str">
        <f t="shared" si="4"/>
        <v/>
      </c>
      <c r="P34" s="49"/>
      <c r="Q34" s="190"/>
      <c r="R34" s="116"/>
      <c r="T34" s="63"/>
      <c r="AI34"/>
    </row>
    <row r="35" spans="1:35" ht="17.25" thickBot="1" x14ac:dyDescent="0.35">
      <c r="A35" s="147" t="s">
        <v>5</v>
      </c>
      <c r="B35" s="148"/>
      <c r="C35" s="148"/>
      <c r="D35" s="148"/>
      <c r="E35" s="148"/>
      <c r="F35" s="148"/>
      <c r="G35" s="148"/>
      <c r="H35" s="148"/>
      <c r="I35" s="148">
        <f>AVERAGE(I17:I34)</f>
        <v>2</v>
      </c>
      <c r="J35" s="148"/>
      <c r="K35" s="149">
        <f>SUM(K17:K34)</f>
        <v>17000</v>
      </c>
      <c r="L35" s="149"/>
      <c r="M35" s="149">
        <f>SUM(M17:M34)</f>
        <v>19040</v>
      </c>
      <c r="N35" s="149"/>
      <c r="O35" s="150">
        <f>SUM(O17:O34)</f>
        <v>445700</v>
      </c>
      <c r="Q35" t="s">
        <v>125</v>
      </c>
      <c r="R35" s="76"/>
      <c r="S35" s="76"/>
      <c r="T35" s="76"/>
    </row>
    <row r="36" spans="1:35" ht="21" x14ac:dyDescent="0.3">
      <c r="A36" s="227" t="s">
        <v>37</v>
      </c>
      <c r="B36" s="228"/>
      <c r="C36" s="229" t="s">
        <v>40</v>
      </c>
      <c r="D36" s="229"/>
      <c r="E36" s="152"/>
      <c r="F36" s="152"/>
      <c r="G36" s="152"/>
      <c r="H36" s="152"/>
      <c r="I36" s="152"/>
      <c r="J36" s="152"/>
      <c r="K36" s="152"/>
      <c r="L36" s="152"/>
      <c r="M36" s="230" t="s">
        <v>21</v>
      </c>
      <c r="N36" s="231"/>
      <c r="O36" s="153">
        <f>O35</f>
        <v>445700</v>
      </c>
      <c r="T36" s="46"/>
    </row>
    <row r="37" spans="1:35" ht="18.75" x14ac:dyDescent="0.3">
      <c r="A37" s="227" t="s">
        <v>38</v>
      </c>
      <c r="B37" s="228"/>
      <c r="C37" s="232" t="s">
        <v>145</v>
      </c>
      <c r="D37" s="232"/>
      <c r="E37" s="152"/>
      <c r="F37" s="152"/>
      <c r="G37" s="152"/>
      <c r="H37" s="152"/>
      <c r="I37" s="152"/>
      <c r="J37" s="152"/>
      <c r="K37" s="152"/>
      <c r="L37" s="152"/>
      <c r="M37" s="233" t="s">
        <v>22</v>
      </c>
      <c r="N37" s="234"/>
      <c r="O37" s="154">
        <v>15000</v>
      </c>
      <c r="T37" s="47"/>
    </row>
    <row r="38" spans="1:35" ht="16.5" customHeight="1" x14ac:dyDescent="0.3">
      <c r="A38" s="132" t="s">
        <v>46</v>
      </c>
      <c r="B38" s="152"/>
      <c r="C38" s="155" t="s">
        <v>28</v>
      </c>
      <c r="D38" s="152"/>
      <c r="E38" s="152"/>
      <c r="F38" s="152"/>
      <c r="G38" s="152"/>
      <c r="H38" s="152"/>
      <c r="I38" s="152"/>
      <c r="J38" s="152"/>
      <c r="K38" s="152"/>
      <c r="L38" s="152"/>
      <c r="M38" s="239" t="s">
        <v>26</v>
      </c>
      <c r="N38" s="240"/>
      <c r="O38" s="156">
        <v>0</v>
      </c>
      <c r="U38" s="69"/>
    </row>
    <row r="39" spans="1:35" ht="16.5" customHeight="1" x14ac:dyDescent="0.3">
      <c r="A39" s="157" t="str">
        <f>IF(B1=X1,Z3,AA3)</f>
        <v>PAYEE:SINOCHEM TIANJIN CO., LTD</v>
      </c>
      <c r="B39" s="152"/>
      <c r="C39" s="152"/>
      <c r="D39" s="152"/>
      <c r="E39" s="152"/>
      <c r="F39" s="152"/>
      <c r="G39" s="152"/>
      <c r="H39" s="152"/>
      <c r="I39" s="152"/>
      <c r="J39" s="152"/>
      <c r="K39" s="152"/>
      <c r="L39" s="152"/>
      <c r="M39" s="239" t="s">
        <v>27</v>
      </c>
      <c r="N39" s="240"/>
      <c r="O39" s="156">
        <v>0</v>
      </c>
    </row>
    <row r="40" spans="1:35" ht="16.5" customHeight="1" x14ac:dyDescent="0.3">
      <c r="A40" s="158" t="s">
        <v>13</v>
      </c>
      <c r="B40" s="152"/>
      <c r="C40" s="152"/>
      <c r="D40" s="152"/>
      <c r="E40" s="152"/>
      <c r="F40" s="152"/>
      <c r="G40" s="152"/>
      <c r="H40" s="152"/>
      <c r="I40" s="152"/>
      <c r="J40" s="152"/>
      <c r="K40" s="152"/>
      <c r="L40" s="152"/>
      <c r="M40" s="152"/>
      <c r="N40" s="152"/>
      <c r="O40" s="156">
        <v>0</v>
      </c>
    </row>
    <row r="41" spans="1:35" ht="16.5" customHeight="1" x14ac:dyDescent="0.3">
      <c r="A41" s="158" t="s">
        <v>14</v>
      </c>
      <c r="B41" s="152"/>
      <c r="C41" s="152"/>
      <c r="D41" s="152"/>
      <c r="E41" s="152"/>
      <c r="F41" s="152"/>
      <c r="G41" s="152"/>
      <c r="H41" s="152"/>
      <c r="I41" s="152"/>
      <c r="J41" s="152"/>
      <c r="K41" s="152"/>
      <c r="L41" s="152"/>
      <c r="M41" s="152"/>
      <c r="N41" s="152"/>
      <c r="O41" s="156">
        <v>0</v>
      </c>
    </row>
    <row r="42" spans="1:35" ht="16.5" customHeight="1" x14ac:dyDescent="0.3">
      <c r="A42" s="158" t="s">
        <v>15</v>
      </c>
      <c r="B42" s="152"/>
      <c r="C42" s="152"/>
      <c r="D42" s="152"/>
      <c r="E42" s="152"/>
      <c r="F42" s="152"/>
      <c r="G42" s="152"/>
      <c r="H42" s="152"/>
      <c r="I42" s="152"/>
      <c r="J42" s="152"/>
      <c r="K42" s="152"/>
      <c r="L42" s="152"/>
      <c r="M42" s="152"/>
      <c r="N42" s="152"/>
      <c r="O42" s="156">
        <v>0</v>
      </c>
    </row>
    <row r="43" spans="1:35" ht="16.5" customHeight="1" x14ac:dyDescent="0.3">
      <c r="A43" s="158" t="s">
        <v>16</v>
      </c>
      <c r="B43" s="152"/>
      <c r="C43" s="152"/>
      <c r="D43" s="152"/>
      <c r="E43" s="152"/>
      <c r="F43" s="152"/>
      <c r="G43" s="152"/>
      <c r="H43" s="152"/>
      <c r="I43" s="152"/>
      <c r="J43" s="152"/>
      <c r="K43" s="152"/>
      <c r="L43" s="152"/>
      <c r="M43" s="152"/>
      <c r="N43" s="152"/>
      <c r="O43" s="156">
        <v>0</v>
      </c>
      <c r="Q43" s="72">
        <v>426655.25</v>
      </c>
    </row>
    <row r="44" spans="1:35" ht="21.75" thickBot="1" x14ac:dyDescent="0.4">
      <c r="A44" s="158" t="str">
        <f>IF(B1=X1,Z2,AA2)</f>
        <v>ACCOUNT NUMBER:10002000096220000016</v>
      </c>
      <c r="B44" s="133"/>
      <c r="C44" s="133"/>
      <c r="D44" s="133"/>
      <c r="E44" s="133"/>
      <c r="F44" s="133"/>
      <c r="G44" s="133"/>
      <c r="H44" s="133"/>
      <c r="I44" s="133"/>
      <c r="J44" s="133"/>
      <c r="K44" s="133"/>
      <c r="L44" s="133"/>
      <c r="M44" s="241" t="s">
        <v>25</v>
      </c>
      <c r="N44" s="242"/>
      <c r="O44" s="159">
        <f>SUM(O36+O37)</f>
        <v>460700</v>
      </c>
    </row>
    <row r="45" spans="1:35" ht="18.75" thickBot="1" x14ac:dyDescent="0.35">
      <c r="A45" s="243" t="s">
        <v>83</v>
      </c>
      <c r="B45" s="244"/>
      <c r="C45" s="245" t="e">
        <f ca="1">SpellNumber(O44)</f>
        <v>#NAME?</v>
      </c>
      <c r="D45" s="245"/>
      <c r="E45" s="245"/>
      <c r="F45" s="245"/>
      <c r="G45" s="245"/>
      <c r="H45" s="245"/>
      <c r="I45" s="245"/>
      <c r="J45" s="245"/>
      <c r="K45" s="246"/>
      <c r="L45" s="160"/>
      <c r="M45" s="133"/>
      <c r="N45" s="133"/>
      <c r="O45" s="161" t="s">
        <v>51</v>
      </c>
    </row>
    <row r="46" spans="1:35" x14ac:dyDescent="0.3">
      <c r="A46" s="247"/>
      <c r="B46" s="248"/>
      <c r="C46" s="248"/>
      <c r="D46" s="248"/>
      <c r="E46" s="248"/>
      <c r="F46" s="248"/>
      <c r="G46" s="248"/>
      <c r="H46" s="248"/>
      <c r="I46" s="248"/>
      <c r="J46" s="248"/>
      <c r="K46" s="248"/>
      <c r="L46" s="162"/>
      <c r="M46" s="133"/>
      <c r="N46" s="133"/>
      <c r="O46" s="163"/>
    </row>
    <row r="47" spans="1:35" ht="16.5" x14ac:dyDescent="0.3">
      <c r="A47" s="164" t="s">
        <v>8</v>
      </c>
      <c r="B47" s="165"/>
      <c r="C47" s="165"/>
      <c r="D47" s="165"/>
      <c r="E47" s="165"/>
      <c r="F47" s="165"/>
      <c r="G47" s="165"/>
      <c r="H47" s="165"/>
      <c r="I47" s="165"/>
      <c r="J47" s="165"/>
      <c r="K47" s="165"/>
      <c r="L47" s="165"/>
      <c r="M47" s="165"/>
      <c r="N47" s="165"/>
      <c r="O47" s="166"/>
    </row>
    <row r="48" spans="1:35" x14ac:dyDescent="0.3">
      <c r="A48" s="167" t="s">
        <v>4</v>
      </c>
      <c r="B48" s="168"/>
      <c r="C48" s="168" t="s">
        <v>28</v>
      </c>
      <c r="D48" s="168"/>
      <c r="E48" s="168"/>
      <c r="F48" s="168"/>
      <c r="G48" s="133"/>
      <c r="H48" s="133"/>
      <c r="I48" s="133"/>
      <c r="J48" s="133"/>
      <c r="K48" s="133"/>
      <c r="L48" s="133"/>
      <c r="M48" s="133"/>
      <c r="N48" s="133"/>
      <c r="O48" s="163"/>
    </row>
    <row r="49" spans="1:21" x14ac:dyDescent="0.3">
      <c r="A49" s="167" t="s">
        <v>2</v>
      </c>
      <c r="B49" s="168"/>
      <c r="C49" s="168" t="s">
        <v>28</v>
      </c>
      <c r="D49" s="168"/>
      <c r="E49" s="168"/>
      <c r="F49" s="168"/>
      <c r="G49" s="133"/>
      <c r="H49" s="133"/>
      <c r="I49" s="133"/>
      <c r="J49" s="133"/>
      <c r="K49" s="133"/>
      <c r="L49" s="133"/>
      <c r="M49" s="133"/>
      <c r="N49" s="133"/>
      <c r="O49" s="163"/>
      <c r="U49" t="e">
        <f ca="1">SpellNumber(O44)</f>
        <v>#NAME?</v>
      </c>
    </row>
    <row r="50" spans="1:21" x14ac:dyDescent="0.3">
      <c r="A50" s="167" t="s">
        <v>3</v>
      </c>
      <c r="B50" s="168"/>
      <c r="C50" s="168" t="s">
        <v>29</v>
      </c>
      <c r="D50" s="168"/>
      <c r="E50" s="168"/>
      <c r="F50" s="168"/>
      <c r="G50" s="133"/>
      <c r="H50" s="133"/>
      <c r="I50" s="133"/>
      <c r="J50" s="133"/>
      <c r="K50" s="133"/>
      <c r="L50" s="133"/>
      <c r="M50" s="133"/>
      <c r="N50" s="133"/>
      <c r="O50" s="163"/>
    </row>
    <row r="51" spans="1:21" x14ac:dyDescent="0.3">
      <c r="A51" s="167"/>
      <c r="B51" s="168"/>
      <c r="C51" s="168"/>
      <c r="D51" s="168"/>
      <c r="E51" s="168"/>
      <c r="F51" s="168"/>
      <c r="G51" s="133"/>
      <c r="H51" s="133"/>
      <c r="I51" s="133"/>
      <c r="J51" s="133"/>
      <c r="K51" s="133"/>
      <c r="L51" s="133"/>
      <c r="M51" s="133"/>
      <c r="N51" s="133"/>
      <c r="O51" s="163"/>
      <c r="T51" t="e">
        <f ca="1">SpellNumber(O44)</f>
        <v>#NAME?</v>
      </c>
    </row>
    <row r="52" spans="1:21" x14ac:dyDescent="0.3">
      <c r="A52" s="169" t="s">
        <v>6</v>
      </c>
      <c r="B52" s="151"/>
      <c r="C52" s="229" t="s">
        <v>24</v>
      </c>
      <c r="D52" s="229"/>
      <c r="E52" s="229"/>
      <c r="F52" s="229"/>
      <c r="G52" s="170"/>
      <c r="H52" s="170"/>
      <c r="I52" s="170"/>
      <c r="J52" s="170"/>
      <c r="K52" s="170"/>
      <c r="L52" s="170"/>
      <c r="M52" s="170"/>
      <c r="N52" s="170"/>
      <c r="O52" s="163"/>
      <c r="T52" t="e">
        <f ca="1">SpellNumber(O44)</f>
        <v>#NAME?</v>
      </c>
    </row>
    <row r="53" spans="1:21" x14ac:dyDescent="0.3">
      <c r="A53" s="171"/>
      <c r="B53" s="170"/>
      <c r="C53" s="170"/>
      <c r="D53" s="170"/>
      <c r="E53" s="170"/>
      <c r="F53" s="170"/>
      <c r="G53" s="170"/>
      <c r="H53" s="170"/>
      <c r="I53" s="170"/>
      <c r="J53" s="170"/>
      <c r="K53" s="170"/>
      <c r="L53" s="170"/>
      <c r="M53" s="170"/>
      <c r="N53" s="170"/>
      <c r="O53" s="163"/>
      <c r="T53" t="e">
        <f ca="1">SpellNumber(O44)</f>
        <v>#NAME?</v>
      </c>
    </row>
    <row r="54" spans="1:21" ht="15" customHeight="1" x14ac:dyDescent="0.3">
      <c r="A54" s="235" t="s">
        <v>30</v>
      </c>
      <c r="B54" s="236"/>
      <c r="C54" s="236"/>
      <c r="D54" s="236"/>
      <c r="E54" s="236"/>
      <c r="F54" s="236"/>
      <c r="G54" s="236"/>
      <c r="H54" s="172"/>
      <c r="I54" s="172"/>
      <c r="J54" s="170"/>
      <c r="K54" s="170"/>
      <c r="L54" s="170"/>
      <c r="M54" s="170"/>
      <c r="N54" s="170"/>
      <c r="O54" s="163"/>
    </row>
    <row r="55" spans="1:21" x14ac:dyDescent="0.3">
      <c r="A55" s="235"/>
      <c r="B55" s="236"/>
      <c r="C55" s="236"/>
      <c r="D55" s="236"/>
      <c r="E55" s="236"/>
      <c r="F55" s="236"/>
      <c r="G55" s="236"/>
      <c r="H55" s="172"/>
      <c r="I55" s="172"/>
      <c r="J55" s="170"/>
      <c r="K55" s="170"/>
      <c r="L55" s="170"/>
      <c r="M55" s="170"/>
      <c r="N55" s="170"/>
      <c r="O55" s="163"/>
    </row>
    <row r="56" spans="1:21" x14ac:dyDescent="0.3">
      <c r="A56" s="235"/>
      <c r="B56" s="236"/>
      <c r="C56" s="236"/>
      <c r="D56" s="236"/>
      <c r="E56" s="236"/>
      <c r="F56" s="236"/>
      <c r="G56" s="236"/>
      <c r="H56" s="172"/>
      <c r="I56" s="172"/>
      <c r="J56" s="170"/>
      <c r="K56" s="170"/>
      <c r="L56" s="170"/>
      <c r="M56" s="170"/>
      <c r="N56" s="170"/>
      <c r="O56" s="163"/>
    </row>
    <row r="57" spans="1:21" x14ac:dyDescent="0.3">
      <c r="A57" s="173" t="s">
        <v>92</v>
      </c>
      <c r="B57" s="174"/>
      <c r="C57" s="170"/>
      <c r="D57" s="170"/>
      <c r="E57" s="170"/>
      <c r="F57" s="170"/>
      <c r="G57" s="170"/>
      <c r="H57" s="170"/>
      <c r="I57" s="170"/>
      <c r="J57" s="170"/>
      <c r="K57" s="170"/>
      <c r="L57" s="170"/>
      <c r="M57" s="170"/>
      <c r="N57" s="170"/>
      <c r="O57" s="163"/>
    </row>
    <row r="58" spans="1:21" ht="15.75" thickBot="1" x14ac:dyDescent="0.35">
      <c r="A58" s="237" t="str">
        <f>IF(B1=X1,Z1,AA1)</f>
        <v>SINOCHEM TIANJIN CO., LTD</v>
      </c>
      <c r="B58" s="238" t="e">
        <f>IF(C57=#REF!,#REF!,#REF!)</f>
        <v>#REF!</v>
      </c>
      <c r="C58" s="238" t="e">
        <f>IF(D57=#REF!,#REF!,#REF!)</f>
        <v>#REF!</v>
      </c>
      <c r="D58" s="238" t="e">
        <f>IF(E57=#REF!,#REF!,#REF!)</f>
        <v>#REF!</v>
      </c>
      <c r="E58" s="175"/>
      <c r="F58" s="176"/>
      <c r="G58" s="176"/>
      <c r="H58" s="176"/>
      <c r="I58" s="176"/>
      <c r="J58" s="176"/>
      <c r="K58" s="176"/>
      <c r="L58" s="176"/>
      <c r="M58" s="176"/>
      <c r="N58" s="176"/>
      <c r="O58" s="177"/>
    </row>
  </sheetData>
  <mergeCells count="68">
    <mergeCell ref="A58:D58"/>
    <mergeCell ref="M38:N38"/>
    <mergeCell ref="M39:N39"/>
    <mergeCell ref="M44:N44"/>
    <mergeCell ref="A45:B45"/>
    <mergeCell ref="C45:K45"/>
    <mergeCell ref="A46:K46"/>
    <mergeCell ref="A37:B37"/>
    <mergeCell ref="C37:D37"/>
    <mergeCell ref="M37:N37"/>
    <mergeCell ref="C52:F52"/>
    <mergeCell ref="A54:G56"/>
    <mergeCell ref="B34:D34"/>
    <mergeCell ref="E34:F34"/>
    <mergeCell ref="A36:B36"/>
    <mergeCell ref="C36:D36"/>
    <mergeCell ref="M36:N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6:D16"/>
    <mergeCell ref="E16:F16"/>
    <mergeCell ref="B17:D17"/>
    <mergeCell ref="E17:F17"/>
    <mergeCell ref="B18:D18"/>
    <mergeCell ref="E18:F18"/>
    <mergeCell ref="M12:N12"/>
    <mergeCell ref="M13:N13"/>
    <mergeCell ref="Q13:R14"/>
    <mergeCell ref="M14:N14"/>
    <mergeCell ref="M15:N15"/>
    <mergeCell ref="A10:D10"/>
    <mergeCell ref="M10:N10"/>
    <mergeCell ref="A11:B11"/>
    <mergeCell ref="C11:D11"/>
    <mergeCell ref="M11:N11"/>
    <mergeCell ref="B1:F1"/>
    <mergeCell ref="N2:O2"/>
    <mergeCell ref="N3:O3"/>
    <mergeCell ref="K5:M5"/>
    <mergeCell ref="N5:O5"/>
  </mergeCells>
  <dataValidations count="3">
    <dataValidation type="list" allowBlank="1" showInputMessage="1" showErrorMessage="1" sqref="H17:H34" xr:uid="{00000000-0002-0000-0200-000000000000}">
      <formula1>$AF$11:$AF$12</formula1>
    </dataValidation>
    <dataValidation type="list" allowBlank="1" showInputMessage="1" showErrorMessage="1" sqref="B1:F1" xr:uid="{00000000-0002-0000-0200-000001000000}">
      <formula1>$X$1:$Y$1</formula1>
    </dataValidation>
    <dataValidation type="list" allowBlank="1" showInputMessage="1" showErrorMessage="1" sqref="A10:D10" xr:uid="{00000000-0002-0000-0200-000002000000}">
      <formula1>$AI$1:$AI$21</formula1>
    </dataValidation>
  </dataValidations>
  <printOptions horizontalCentered="1"/>
  <pageMargins left="0.511811023622047" right="0.511811023622047" top="0.511811023622047" bottom="0.511811023622047" header="0.511811023622047" footer="0.23622047244094499"/>
  <pageSetup scale="6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1"/>
  <dimension ref="A1:AK58"/>
  <sheetViews>
    <sheetView showGridLines="0" zoomScale="93" zoomScaleNormal="93" workbookViewId="0">
      <selection activeCell="H24" sqref="H24"/>
    </sheetView>
  </sheetViews>
  <sheetFormatPr defaultRowHeight="15" x14ac:dyDescent="0.3"/>
  <cols>
    <col min="1" max="3" width="11.42578125" customWidth="1"/>
    <col min="4" max="4" width="21.140625" customWidth="1"/>
    <col min="5" max="5" width="11.42578125" customWidth="1"/>
    <col min="6" max="6" width="17" customWidth="1"/>
    <col min="7" max="7" width="8.140625" bestFit="1" customWidth="1"/>
    <col min="8" max="8" width="8.140625" customWidth="1"/>
    <col min="9" max="9" width="9.42578125" hidden="1" customWidth="1"/>
    <col min="10" max="11" width="11.42578125" customWidth="1"/>
    <col min="12" max="12" width="11.42578125" hidden="1" customWidth="1"/>
    <col min="13" max="14" width="11.42578125" customWidth="1"/>
    <col min="15" max="15" width="16.85546875" customWidth="1"/>
    <col min="16" max="16" width="10.85546875" bestFit="1" customWidth="1"/>
    <col min="17" max="17" width="9.85546875" bestFit="1" customWidth="1"/>
    <col min="20" max="20" width="11.85546875" bestFit="1" customWidth="1"/>
    <col min="35" max="35" width="40.140625" bestFit="1" customWidth="1"/>
  </cols>
  <sheetData>
    <row r="1" spans="1:37" ht="78" customHeight="1" x14ac:dyDescent="0.45">
      <c r="A1" s="183"/>
      <c r="B1" s="204" t="s">
        <v>108</v>
      </c>
      <c r="C1" s="204"/>
      <c r="D1" s="204"/>
      <c r="E1" s="204"/>
      <c r="F1" s="204"/>
      <c r="G1" s="119"/>
      <c r="H1" s="119"/>
      <c r="I1" s="119"/>
      <c r="J1" s="119"/>
      <c r="K1" s="119"/>
      <c r="L1" s="119"/>
      <c r="M1" s="119"/>
      <c r="N1" s="119"/>
      <c r="O1" s="120" t="s">
        <v>7</v>
      </c>
      <c r="X1" s="87" t="s">
        <v>74</v>
      </c>
      <c r="Y1" s="88" t="s">
        <v>108</v>
      </c>
      <c r="Z1" s="38" t="s">
        <v>69</v>
      </c>
      <c r="AA1" s="38" t="s">
        <v>109</v>
      </c>
      <c r="AI1" s="115" t="e">
        <f>IF(#REF!="","",#REF!)</f>
        <v>#REF!</v>
      </c>
    </row>
    <row r="2" spans="1:37" ht="16.5" x14ac:dyDescent="0.3">
      <c r="A2" s="121" t="str">
        <f>IF(B1=X1,Z1,AA1)</f>
        <v>SINOCHEM TIANJIN CO., LTD</v>
      </c>
      <c r="B2" s="122"/>
      <c r="C2" s="122"/>
      <c r="D2" s="123"/>
      <c r="E2" s="123"/>
      <c r="F2" s="123"/>
      <c r="G2" s="123"/>
      <c r="H2" s="123"/>
      <c r="I2" s="123"/>
      <c r="J2" s="123"/>
      <c r="K2" s="124"/>
      <c r="L2" s="124"/>
      <c r="M2" s="125" t="s">
        <v>45</v>
      </c>
      <c r="N2" s="205" t="s">
        <v>97</v>
      </c>
      <c r="O2" s="206"/>
      <c r="Z2" s="89" t="s">
        <v>144</v>
      </c>
      <c r="AA2" s="89" t="s">
        <v>111</v>
      </c>
      <c r="AI2" s="115" t="e">
        <f>IF(#REF!="","",#REF!)</f>
        <v>#REF!</v>
      </c>
    </row>
    <row r="3" spans="1:37" ht="16.5" x14ac:dyDescent="0.3">
      <c r="A3" s="126" t="s">
        <v>11</v>
      </c>
      <c r="B3" s="127"/>
      <c r="C3" s="127"/>
      <c r="D3" s="128"/>
      <c r="E3" s="128"/>
      <c r="F3" s="128"/>
      <c r="G3" s="128"/>
      <c r="H3" s="128"/>
      <c r="I3" s="128"/>
      <c r="J3" s="128"/>
      <c r="K3" s="129"/>
      <c r="L3" s="129"/>
      <c r="M3" s="125" t="s">
        <v>44</v>
      </c>
      <c r="N3" s="205" t="s">
        <v>146</v>
      </c>
      <c r="O3" s="206"/>
      <c r="Z3" s="38" t="s">
        <v>112</v>
      </c>
      <c r="AA3" s="38" t="s">
        <v>113</v>
      </c>
      <c r="AI3" s="115" t="e">
        <f>IF(#REF!="","",#REF!)</f>
        <v>#REF!</v>
      </c>
      <c r="AK3" t="e">
        <f>IF(AI1=0,"",AI1)</f>
        <v>#REF!</v>
      </c>
    </row>
    <row r="4" spans="1:37" ht="15" customHeight="1" x14ac:dyDescent="0.3">
      <c r="A4" s="126" t="s">
        <v>12</v>
      </c>
      <c r="B4" s="127"/>
      <c r="C4" s="127"/>
      <c r="D4" s="123"/>
      <c r="E4" s="123"/>
      <c r="F4" s="123"/>
      <c r="G4" s="123"/>
      <c r="H4" s="123"/>
      <c r="I4" s="123"/>
      <c r="J4" s="123"/>
      <c r="K4" s="124"/>
      <c r="L4" s="124"/>
      <c r="M4" s="125" t="s">
        <v>47</v>
      </c>
      <c r="N4" s="130" t="s">
        <v>98</v>
      </c>
      <c r="O4" s="186" t="s">
        <v>100</v>
      </c>
      <c r="AI4" s="115" t="e">
        <f>IF(#REF!="","",#REF!)</f>
        <v>#REF!</v>
      </c>
    </row>
    <row r="5" spans="1:37" ht="16.5" x14ac:dyDescent="0.3">
      <c r="A5" s="126" t="s">
        <v>10</v>
      </c>
      <c r="B5" s="127"/>
      <c r="C5" s="127"/>
      <c r="D5" s="123"/>
      <c r="E5" s="123"/>
      <c r="F5" s="123"/>
      <c r="G5" s="123"/>
      <c r="H5" s="123"/>
      <c r="I5" s="123"/>
      <c r="J5" s="123"/>
      <c r="K5" s="207"/>
      <c r="L5" s="207"/>
      <c r="M5" s="207"/>
      <c r="N5" s="208"/>
      <c r="O5" s="209"/>
      <c r="AI5" s="115" t="e">
        <f>IF(#REF!="","",#REF!)</f>
        <v>#REF!</v>
      </c>
    </row>
    <row r="6" spans="1:37" ht="16.5" x14ac:dyDescent="0.3">
      <c r="A6" s="126" t="s">
        <v>9</v>
      </c>
      <c r="B6" s="127"/>
      <c r="C6" s="127"/>
      <c r="D6" s="123"/>
      <c r="E6" s="123"/>
      <c r="F6" s="123"/>
      <c r="G6" s="123"/>
      <c r="H6" s="123"/>
      <c r="I6" s="123"/>
      <c r="J6" s="123"/>
      <c r="K6" s="123"/>
      <c r="L6" s="123"/>
      <c r="M6" s="123"/>
      <c r="N6" s="123"/>
      <c r="O6" s="131"/>
      <c r="AI6" s="115" t="e">
        <f>IF(#REF!="","",#REF!)</f>
        <v>#REF!</v>
      </c>
    </row>
    <row r="7" spans="1:37" ht="16.5" x14ac:dyDescent="0.3">
      <c r="A7" s="132"/>
      <c r="B7" s="133"/>
      <c r="C7" s="133"/>
      <c r="D7" s="123"/>
      <c r="E7" s="123"/>
      <c r="F7" s="123"/>
      <c r="G7" s="123"/>
      <c r="H7" s="123"/>
      <c r="I7" s="123"/>
      <c r="J7" s="123"/>
      <c r="K7" s="123"/>
      <c r="L7" s="123"/>
      <c r="M7" s="123"/>
      <c r="N7" s="123"/>
      <c r="O7" s="131"/>
      <c r="S7" s="51"/>
      <c r="T7" s="50"/>
      <c r="AI7" s="115" t="e">
        <f>IF(#REF!="","",#REF!)</f>
        <v>#REF!</v>
      </c>
    </row>
    <row r="8" spans="1:37" ht="17.25" thickBot="1" x14ac:dyDescent="0.35">
      <c r="A8" s="132"/>
      <c r="B8" s="133"/>
      <c r="C8" s="133"/>
      <c r="D8" s="133"/>
      <c r="E8" s="133"/>
      <c r="F8" s="133"/>
      <c r="G8" s="133"/>
      <c r="H8" s="133"/>
      <c r="I8" s="133"/>
      <c r="J8" s="133"/>
      <c r="K8" s="133"/>
      <c r="L8" s="133"/>
      <c r="M8" s="133"/>
      <c r="N8" s="133"/>
      <c r="O8" s="131"/>
      <c r="S8" s="51"/>
      <c r="T8" s="50"/>
      <c r="AI8" s="115" t="e">
        <f>IF(#REF!="","",#REF!)</f>
        <v>#REF!</v>
      </c>
    </row>
    <row r="9" spans="1:37" ht="17.25" thickBot="1" x14ac:dyDescent="0.35">
      <c r="A9" s="192" t="s">
        <v>1</v>
      </c>
      <c r="B9" s="193"/>
      <c r="C9" s="193"/>
      <c r="D9" s="193"/>
      <c r="E9" s="193"/>
      <c r="F9" s="193"/>
      <c r="G9" s="193"/>
      <c r="H9" s="193"/>
      <c r="I9" s="193"/>
      <c r="J9" s="193"/>
      <c r="K9" s="193"/>
      <c r="L9" s="193"/>
      <c r="M9" s="193"/>
      <c r="N9" s="193" t="s">
        <v>31</v>
      </c>
      <c r="O9" s="194"/>
      <c r="AI9" s="115" t="e">
        <f>IF(#REF!="","",#REF!)</f>
        <v>#REF!</v>
      </c>
    </row>
    <row r="10" spans="1:37" ht="16.5" x14ac:dyDescent="0.3">
      <c r="A10" s="210" t="s">
        <v>88</v>
      </c>
      <c r="B10" s="211"/>
      <c r="C10" s="211"/>
      <c r="D10" s="211"/>
      <c r="E10" s="123"/>
      <c r="F10" s="123"/>
      <c r="G10" s="123"/>
      <c r="H10" s="123"/>
      <c r="I10" s="123"/>
      <c r="J10" s="123"/>
      <c r="K10" s="123"/>
      <c r="L10" s="123"/>
      <c r="M10" s="212" t="s">
        <v>32</v>
      </c>
      <c r="N10" s="212"/>
      <c r="O10" s="134" t="s">
        <v>34</v>
      </c>
      <c r="AI10" s="115" t="e">
        <f>IF(#REF!="","",#REF!)</f>
        <v>#REF!</v>
      </c>
    </row>
    <row r="11" spans="1:37" ht="16.5" customHeight="1" x14ac:dyDescent="0.3">
      <c r="A11" s="213" t="s">
        <v>90</v>
      </c>
      <c r="B11" s="214"/>
      <c r="C11" s="214" t="e">
        <f>VLOOKUP(A10,#REF!,2,FALSE)</f>
        <v>#REF!</v>
      </c>
      <c r="D11" s="214"/>
      <c r="E11" s="123"/>
      <c r="F11" s="123"/>
      <c r="G11" s="123"/>
      <c r="H11" s="123"/>
      <c r="I11" s="123"/>
      <c r="J11" s="123"/>
      <c r="K11" s="123"/>
      <c r="L11" s="123"/>
      <c r="M11" s="212" t="s">
        <v>42</v>
      </c>
      <c r="N11" s="212"/>
      <c r="O11" s="134" t="s">
        <v>43</v>
      </c>
      <c r="AF11" t="s">
        <v>105</v>
      </c>
      <c r="AI11" s="115" t="e">
        <f>IF(#REF!="","",#REF!)</f>
        <v>#REF!</v>
      </c>
    </row>
    <row r="12" spans="1:37" ht="16.5" customHeight="1" x14ac:dyDescent="0.3">
      <c r="A12" s="126" t="e">
        <f>VLOOKUP(A10,#REF!,3,FALSE)</f>
        <v>#REF!</v>
      </c>
      <c r="B12" s="127"/>
      <c r="C12" s="127"/>
      <c r="D12" s="123"/>
      <c r="E12" s="123"/>
      <c r="F12" s="123"/>
      <c r="G12" s="123"/>
      <c r="H12" s="123"/>
      <c r="I12" s="123"/>
      <c r="J12" s="123"/>
      <c r="K12" s="123"/>
      <c r="L12" s="123"/>
      <c r="M12" s="212" t="s">
        <v>41</v>
      </c>
      <c r="N12" s="212"/>
      <c r="O12" s="135">
        <f xml:space="preserve"> M35</f>
        <v>6890</v>
      </c>
      <c r="AF12" t="s">
        <v>106</v>
      </c>
      <c r="AI12" s="115" t="e">
        <f>IF(#REF!="","",#REF!)</f>
        <v>#REF!</v>
      </c>
    </row>
    <row r="13" spans="1:37" ht="16.5" customHeight="1" x14ac:dyDescent="0.3">
      <c r="A13" s="126" t="s">
        <v>70</v>
      </c>
      <c r="B13" s="127" t="e">
        <f>VLOOKUP(A10,#REF!,4,FALSE)</f>
        <v>#REF!</v>
      </c>
      <c r="C13" s="127"/>
      <c r="D13" s="123"/>
      <c r="E13" s="123"/>
      <c r="F13" s="123"/>
      <c r="G13" s="123"/>
      <c r="H13" s="123"/>
      <c r="I13" s="123"/>
      <c r="J13" s="123"/>
      <c r="K13" s="123"/>
      <c r="L13" s="123"/>
      <c r="M13" s="212" t="s">
        <v>35</v>
      </c>
      <c r="N13" s="212"/>
      <c r="O13" s="136" t="str">
        <f>IF(I35=1,"Cartons",IF(I35=2,"Drums","Cartons &amp; Drums"))</f>
        <v>Cartons</v>
      </c>
      <c r="Q13" s="215"/>
      <c r="R13" s="215"/>
      <c r="S13" s="195"/>
      <c r="T13" s="64"/>
      <c r="U13" s="65"/>
      <c r="AI13" s="115" t="e">
        <f>IF(#REF!="","",#REF!)</f>
        <v>#REF!</v>
      </c>
    </row>
    <row r="14" spans="1:37" ht="16.5" customHeight="1" x14ac:dyDescent="0.3">
      <c r="A14" s="137" t="s">
        <v>71</v>
      </c>
      <c r="B14" s="138" t="e">
        <f>VLOOKUP(A10,#REF!,5,FALSE)</f>
        <v>#REF!</v>
      </c>
      <c r="C14" s="127"/>
      <c r="D14" s="123"/>
      <c r="E14" s="123"/>
      <c r="F14" s="123"/>
      <c r="G14" s="123"/>
      <c r="H14" s="123"/>
      <c r="I14" s="123"/>
      <c r="J14" s="123"/>
      <c r="K14" s="123"/>
      <c r="L14" s="123"/>
      <c r="M14" s="212" t="s">
        <v>33</v>
      </c>
      <c r="N14" s="212"/>
      <c r="O14" s="136">
        <f>SUM(L17:L34)</f>
        <v>260</v>
      </c>
      <c r="Q14" s="215"/>
      <c r="R14" s="215"/>
      <c r="S14" s="195"/>
      <c r="T14" s="195"/>
      <c r="U14" s="66"/>
      <c r="AI14" s="115" t="e">
        <f>IF(#REF!="","",#REF!)</f>
        <v>#REF!</v>
      </c>
    </row>
    <row r="15" spans="1:37" ht="17.25" thickBot="1" x14ac:dyDescent="0.35">
      <c r="A15" s="132"/>
      <c r="B15" s="133"/>
      <c r="C15" s="138"/>
      <c r="D15" s="133"/>
      <c r="E15" s="133"/>
      <c r="F15" s="133"/>
      <c r="G15" s="133"/>
      <c r="H15" s="133"/>
      <c r="I15" s="133"/>
      <c r="J15" s="133"/>
      <c r="K15" s="133"/>
      <c r="L15" s="133"/>
      <c r="M15" s="212"/>
      <c r="N15" s="212"/>
      <c r="O15" s="134"/>
      <c r="AI15" s="115" t="e">
        <f>IF(#REF!="","",#REF!)</f>
        <v>#REF!</v>
      </c>
    </row>
    <row r="16" spans="1:37" ht="48.75" customHeight="1" thickBot="1" x14ac:dyDescent="0.35">
      <c r="A16" s="179" t="s">
        <v>17</v>
      </c>
      <c r="B16" s="216" t="s">
        <v>0</v>
      </c>
      <c r="C16" s="216"/>
      <c r="D16" s="216"/>
      <c r="E16" s="216" t="s">
        <v>39</v>
      </c>
      <c r="F16" s="216"/>
      <c r="G16" s="139" t="s">
        <v>18</v>
      </c>
      <c r="H16" s="139" t="s">
        <v>104</v>
      </c>
      <c r="I16" s="139"/>
      <c r="J16" s="140" t="s">
        <v>19</v>
      </c>
      <c r="K16" s="140" t="s">
        <v>20</v>
      </c>
      <c r="L16" s="139" t="s">
        <v>126</v>
      </c>
      <c r="M16" s="140" t="s">
        <v>143</v>
      </c>
      <c r="N16" s="139" t="s">
        <v>49</v>
      </c>
      <c r="O16" s="141" t="s">
        <v>50</v>
      </c>
      <c r="Q16" s="32" t="s">
        <v>72</v>
      </c>
      <c r="R16" s="32" t="s">
        <v>81</v>
      </c>
      <c r="S16" s="32" t="s">
        <v>94</v>
      </c>
      <c r="T16" s="32" t="s">
        <v>93</v>
      </c>
      <c r="U16" s="32" t="s">
        <v>73</v>
      </c>
      <c r="AA16" s="114"/>
      <c r="AI16" s="115" t="e">
        <f>IF(#REF!="","",#REF!)</f>
        <v>#REF!</v>
      </c>
    </row>
    <row r="17" spans="1:35" s="50" customFormat="1" ht="30" customHeight="1" thickBot="1" x14ac:dyDescent="0.35">
      <c r="A17" s="180">
        <v>2323</v>
      </c>
      <c r="B17" s="217" t="e">
        <f>IF(A17:A28="","",IF(N$4="sys/",VLOOKUP(A17:A28,#REF!,4,FALSE),VLOOKUP(A17:A28,#REF!,4,FALSE)))</f>
        <v>#REF!</v>
      </c>
      <c r="C17" s="218"/>
      <c r="D17" s="219"/>
      <c r="E17" s="220" t="e">
        <f>IF(A17:A28="","",IF(N$4="sys/",VLOOKUP(A17:A28,#REF!,7,FALSE),VLOOKUP(A17:A28,#REF!,7,FALSE)))</f>
        <v>#REF!</v>
      </c>
      <c r="F17" s="221"/>
      <c r="G17" s="117" t="e">
        <f>IF(A17:A28="","",IF(P$4="sys/",VLOOKUP(A17:A28,#REF!,9,FALSE),VLOOKUP(A17:A28,#REF!,9,FALSE)))</f>
        <v>#REF!</v>
      </c>
      <c r="H17" s="187" t="s">
        <v>105</v>
      </c>
      <c r="I17" s="117">
        <f>IF(H17="","",IF(H17="carton",1,2))</f>
        <v>1</v>
      </c>
      <c r="J17" s="142" t="e">
        <f>IF(A17:A28="","",IF(N$4="sys/",VLOOKUP(A17:A28,#REF!,8,FALSE),VLOOKUP(A17:A28,#REF!,8,FALSE)))</f>
        <v>#REF!</v>
      </c>
      <c r="K17" s="187">
        <v>1000</v>
      </c>
      <c r="L17" s="143">
        <f t="shared" ref="L17:L34" si="0">IF(A17=142,K17/10,IF(A17=8064,K17/20,K17/25))</f>
        <v>40</v>
      </c>
      <c r="M17" s="178">
        <f t="shared" ref="M17:M34" si="1">IF(A17="","",IF(H17="carton",(IF(A17=8064,(K17*21.5/20),(K17*26.5/25))),IF(H17="drum",IF(A17=142,(K17*13/10),K17*28/25))))</f>
        <v>1060</v>
      </c>
      <c r="N17" s="142" t="str">
        <f t="shared" ref="N17:N34" si="2">IF(Q17="","",FIXED(Q17-(O$37/K$35),2,1))</f>
        <v>92.09</v>
      </c>
      <c r="O17" s="144">
        <f>IF(K17="","",K17*N17)</f>
        <v>92090</v>
      </c>
      <c r="P17" s="49"/>
      <c r="Q17" s="181">
        <v>93.11</v>
      </c>
      <c r="R17" s="181"/>
      <c r="S17" s="73"/>
      <c r="T17" s="63"/>
      <c r="AA17" s="114"/>
      <c r="AI17" s="115" t="e">
        <f>IF(#REF!="","",#REF!)</f>
        <v>#REF!</v>
      </c>
    </row>
    <row r="18" spans="1:35" s="50" customFormat="1" ht="30" customHeight="1" thickBot="1" x14ac:dyDescent="0.35">
      <c r="A18" s="184">
        <v>2592</v>
      </c>
      <c r="B18" s="222" t="e">
        <f>IF(A18:A35="","",IF(N$4="sys/",VLOOKUP(A18:A35,#REF!,4,FALSE),VLOOKUP(A18:A35,#REF!,4,FALSE)))</f>
        <v>#REF!</v>
      </c>
      <c r="C18" s="223"/>
      <c r="D18" s="224"/>
      <c r="E18" s="225" t="e">
        <f>IF(A18:A35="","",IF(N$4="sys/",VLOOKUP(A18:A35,#REF!,7,FALSE),VLOOKUP(A18:A35,#REF!,7,FALSE)))</f>
        <v>#REF!</v>
      </c>
      <c r="F18" s="226"/>
      <c r="G18" s="118" t="e">
        <f>IF(A18:A35="","",IF(P$4="sys/",VLOOKUP(A18:A35,#REF!,9,FALSE),VLOOKUP(A18:A35,#REF!,9,FALSE)))</f>
        <v>#REF!</v>
      </c>
      <c r="H18" s="188" t="s">
        <v>105</v>
      </c>
      <c r="I18" s="118">
        <f t="shared" ref="I18:I34" si="3">IF(H18="","",IF(H18="carton",1,2))</f>
        <v>1</v>
      </c>
      <c r="J18" s="145" t="e">
        <f>IF(A18:A35="","",IF(N$4="sys/",VLOOKUP(A18:A35,#REF!,8,FALSE),VLOOKUP(A18:A35,#REF!,8,FALSE)))</f>
        <v>#REF!</v>
      </c>
      <c r="K18" s="188">
        <v>2000</v>
      </c>
      <c r="L18" s="143">
        <f t="shared" si="0"/>
        <v>80</v>
      </c>
      <c r="M18" s="145">
        <f t="shared" si="1"/>
        <v>2120</v>
      </c>
      <c r="N18" s="145" t="str">
        <f t="shared" si="2"/>
        <v>45.30</v>
      </c>
      <c r="O18" s="146">
        <f t="shared" ref="O18:O34" si="4">IF(K18="","",K18*N18)</f>
        <v>90600</v>
      </c>
      <c r="P18" s="49"/>
      <c r="Q18" s="181">
        <v>46.32</v>
      </c>
      <c r="R18" s="181"/>
      <c r="S18" s="73"/>
      <c r="T18" s="63"/>
      <c r="AA18" s="114"/>
      <c r="AI18" s="115" t="e">
        <f>IF(#REF!="","",#REF!)</f>
        <v>#REF!</v>
      </c>
    </row>
    <row r="19" spans="1:35" s="50" customFormat="1" ht="30" customHeight="1" thickBot="1" x14ac:dyDescent="0.35">
      <c r="A19" s="184">
        <v>2362</v>
      </c>
      <c r="B19" s="222" t="e">
        <f>IF(A19:A36="","",IF(N$4="sys/",VLOOKUP(A19:A36,#REF!,4,FALSE),VLOOKUP(A19:A36,#REF!,4,FALSE)))</f>
        <v>#REF!</v>
      </c>
      <c r="C19" s="223"/>
      <c r="D19" s="224"/>
      <c r="E19" s="225" t="e">
        <f>IF(A19:A36="","",IF(N$4="sys/",VLOOKUP(A19:A36,#REF!,7,FALSE),VLOOKUP(A19:A36,#REF!,7,FALSE)))</f>
        <v>#REF!</v>
      </c>
      <c r="F19" s="226"/>
      <c r="G19" s="118" t="e">
        <f>IF(A19:A36="","",IF(P$4="sys/",VLOOKUP(A19:A36,#REF!,9,FALSE),VLOOKUP(A19:A36,#REF!,9,FALSE)))</f>
        <v>#REF!</v>
      </c>
      <c r="H19" s="188" t="s">
        <v>105</v>
      </c>
      <c r="I19" s="118">
        <f t="shared" si="3"/>
        <v>1</v>
      </c>
      <c r="J19" s="145" t="e">
        <f>IF(A19:A36="","",IF(N$4="sys/",VLOOKUP(A19:A36,#REF!,8,FALSE),VLOOKUP(A19:A36,#REF!,8,FALSE)))</f>
        <v>#REF!</v>
      </c>
      <c r="K19" s="188">
        <v>1500</v>
      </c>
      <c r="L19" s="143">
        <f t="shared" si="0"/>
        <v>60</v>
      </c>
      <c r="M19" s="145">
        <f t="shared" si="1"/>
        <v>1590</v>
      </c>
      <c r="N19" s="145" t="str">
        <f t="shared" si="2"/>
        <v>41.38</v>
      </c>
      <c r="O19" s="146">
        <f t="shared" si="4"/>
        <v>62070.000000000007</v>
      </c>
      <c r="P19" s="49"/>
      <c r="Q19" s="181">
        <v>42.4</v>
      </c>
      <c r="R19" s="181"/>
      <c r="S19" s="73"/>
      <c r="T19" s="63"/>
      <c r="AA19" s="114"/>
      <c r="AI19" s="115" t="e">
        <f>IF(#REF!="","",#REF!)</f>
        <v>#REF!</v>
      </c>
    </row>
    <row r="20" spans="1:35" s="50" customFormat="1" ht="30" customHeight="1" thickBot="1" x14ac:dyDescent="0.35">
      <c r="A20" s="184">
        <v>2652</v>
      </c>
      <c r="B20" s="222" t="e">
        <f>IF(A20:A37="","",IF(N$4="sys/",VLOOKUP(A20:A37,#REF!,4,FALSE),VLOOKUP(A20:A37,#REF!,4,FALSE)))</f>
        <v>#REF!</v>
      </c>
      <c r="C20" s="223"/>
      <c r="D20" s="224"/>
      <c r="E20" s="225" t="e">
        <f>IF(A20:A37="","",IF(N$4="sys/",VLOOKUP(A20:A37,#REF!,7,FALSE),VLOOKUP(A20:A37,#REF!,7,FALSE)))</f>
        <v>#REF!</v>
      </c>
      <c r="F20" s="226"/>
      <c r="G20" s="118" t="e">
        <f>IF(A20:A37="","",IF(P$4="sys/",VLOOKUP(A20:A37,#REF!,9,FALSE),VLOOKUP(A20:A37,#REF!,9,FALSE)))</f>
        <v>#REF!</v>
      </c>
      <c r="H20" s="188" t="s">
        <v>105</v>
      </c>
      <c r="I20" s="118">
        <f t="shared" si="3"/>
        <v>1</v>
      </c>
      <c r="J20" s="145" t="e">
        <f>IF(A20:A37="","",IF(N$4="sys/",VLOOKUP(A20:A37,#REF!,8,FALSE),VLOOKUP(A20:A37,#REF!,8,FALSE)))</f>
        <v>#REF!</v>
      </c>
      <c r="K20" s="188">
        <v>2000</v>
      </c>
      <c r="L20" s="143">
        <f t="shared" si="0"/>
        <v>80</v>
      </c>
      <c r="M20" s="145">
        <f t="shared" si="1"/>
        <v>2120</v>
      </c>
      <c r="N20" s="145" t="str">
        <f t="shared" si="2"/>
        <v>148.25</v>
      </c>
      <c r="O20" s="146">
        <f t="shared" si="4"/>
        <v>296500</v>
      </c>
      <c r="P20" s="49"/>
      <c r="Q20" s="181">
        <v>149.27000000000001</v>
      </c>
      <c r="R20" s="181"/>
      <c r="S20" s="73"/>
      <c r="T20" s="63"/>
      <c r="AA20" s="114"/>
      <c r="AI20" s="115" t="e">
        <f>IF(#REF!="","",#REF!)</f>
        <v>#REF!</v>
      </c>
    </row>
    <row r="21" spans="1:35" s="50" customFormat="1" ht="30" customHeight="1" thickBot="1" x14ac:dyDescent="0.35">
      <c r="A21" s="184"/>
      <c r="B21" s="222" t="str">
        <f>IF(A21:A38="","",IF(N$4="sys/",VLOOKUP(A21:A38,#REF!,4,FALSE),VLOOKUP(A21:A38,#REF!,4,FALSE)))</f>
        <v/>
      </c>
      <c r="C21" s="223"/>
      <c r="D21" s="224"/>
      <c r="E21" s="225" t="str">
        <f>IF(A21:A38="","",IF(N$4="sys/",VLOOKUP(A21:A38,#REF!,7,FALSE),VLOOKUP(A21:A38,#REF!,7,FALSE)))</f>
        <v/>
      </c>
      <c r="F21" s="226"/>
      <c r="G21" s="118" t="str">
        <f>IF(A21:A38="","",IF(P$4="sys/",VLOOKUP(A21:A38,#REF!,9,FALSE),VLOOKUP(A21:A38,#REF!,9,FALSE)))</f>
        <v/>
      </c>
      <c r="H21" s="188"/>
      <c r="I21" s="118" t="str">
        <f t="shared" si="3"/>
        <v/>
      </c>
      <c r="J21" s="145" t="str">
        <f>IF(A21:A38="","",IF(N$4="sys/",VLOOKUP(A21:A38,#REF!,8,FALSE),VLOOKUP(A21:A38,#REF!,8,FALSE)))</f>
        <v/>
      </c>
      <c r="K21" s="188"/>
      <c r="L21" s="143">
        <f t="shared" si="0"/>
        <v>0</v>
      </c>
      <c r="M21" s="145" t="str">
        <f t="shared" si="1"/>
        <v/>
      </c>
      <c r="N21" s="145" t="str">
        <f t="shared" si="2"/>
        <v/>
      </c>
      <c r="O21" s="146" t="str">
        <f t="shared" si="4"/>
        <v/>
      </c>
      <c r="P21" s="49"/>
      <c r="Q21" s="182"/>
      <c r="R21" s="182"/>
      <c r="S21" s="73"/>
      <c r="T21" s="63"/>
      <c r="AA21" s="114"/>
      <c r="AI21" s="115" t="e">
        <f>IF(#REF!="","",#REF!)</f>
        <v>#REF!</v>
      </c>
    </row>
    <row r="22" spans="1:35" s="50" customFormat="1" ht="30" customHeight="1" thickBot="1" x14ac:dyDescent="0.35">
      <c r="A22" s="184"/>
      <c r="B22" s="222" t="str">
        <f>IF(A22:A39="","",IF(N$4="sys/",VLOOKUP(A22:A39,#REF!,4,FALSE),VLOOKUP(A22:A39,#REF!,4,FALSE)))</f>
        <v/>
      </c>
      <c r="C22" s="223"/>
      <c r="D22" s="224"/>
      <c r="E22" s="225" t="str">
        <f>IF(A22:A39="","",IF(N$4="sys/",VLOOKUP(A22:A39,#REF!,7,FALSE),VLOOKUP(A22:A39,#REF!,7,FALSE)))</f>
        <v/>
      </c>
      <c r="F22" s="226"/>
      <c r="G22" s="118" t="str">
        <f>IF(A22:A39="","",IF(P$4="sys/",VLOOKUP(A22:A39,#REF!,9,FALSE),VLOOKUP(A22:A39,#REF!,9,FALSE)))</f>
        <v/>
      </c>
      <c r="H22" s="188"/>
      <c r="I22" s="118" t="str">
        <f t="shared" si="3"/>
        <v/>
      </c>
      <c r="J22" s="145" t="str">
        <f>IF(A22:A39="","",IF(N$4="sys/",VLOOKUP(A22:A39,#REF!,8,FALSE),VLOOKUP(A22:A39,#REF!,8,FALSE)))</f>
        <v/>
      </c>
      <c r="K22" s="188"/>
      <c r="L22" s="143">
        <f t="shared" si="0"/>
        <v>0</v>
      </c>
      <c r="M22" s="145" t="str">
        <f t="shared" si="1"/>
        <v/>
      </c>
      <c r="N22" s="145" t="str">
        <f t="shared" si="2"/>
        <v/>
      </c>
      <c r="O22" s="146" t="str">
        <f t="shared" si="4"/>
        <v/>
      </c>
      <c r="P22" s="49"/>
      <c r="Q22" s="189"/>
      <c r="R22" s="189"/>
      <c r="S22" s="73"/>
      <c r="T22" s="71"/>
      <c r="AA22" s="114"/>
      <c r="AI22" s="115" t="e">
        <f>IF(#REF!="","",#REF!)</f>
        <v>#REF!</v>
      </c>
    </row>
    <row r="23" spans="1:35" s="50" customFormat="1" ht="30" customHeight="1" thickBot="1" x14ac:dyDescent="0.35">
      <c r="A23" s="184"/>
      <c r="B23" s="222" t="str">
        <f>IF(A23:A40="","",IF(N$4="sys/",VLOOKUP(A23:A40,#REF!,4,FALSE),VLOOKUP(A23:A40,#REF!,4,FALSE)))</f>
        <v/>
      </c>
      <c r="C23" s="223"/>
      <c r="D23" s="224"/>
      <c r="E23" s="225" t="str">
        <f>IF(A23:A40="","",IF(N$4="sys/",VLOOKUP(A23:A40,#REF!,7,FALSE),VLOOKUP(A23:A40,#REF!,7,FALSE)))</f>
        <v/>
      </c>
      <c r="F23" s="226"/>
      <c r="G23" s="118" t="str">
        <f>IF(A23:A40="","",IF(P$4="sys/",VLOOKUP(A23:A40,#REF!,9,FALSE),VLOOKUP(A23:A40,#REF!,9,FALSE)))</f>
        <v/>
      </c>
      <c r="H23" s="188"/>
      <c r="I23" s="118" t="str">
        <f t="shared" si="3"/>
        <v/>
      </c>
      <c r="J23" s="145" t="str">
        <f>IF(A23:A40="","",IF(N$4="sys/",VLOOKUP(A23:A40,#REF!,8,FALSE),VLOOKUP(A23:A40,#REF!,8,FALSE)))</f>
        <v/>
      </c>
      <c r="K23" s="188"/>
      <c r="L23" s="143">
        <f t="shared" si="0"/>
        <v>0</v>
      </c>
      <c r="M23" s="145" t="str">
        <f t="shared" si="1"/>
        <v/>
      </c>
      <c r="N23" s="145" t="str">
        <f t="shared" si="2"/>
        <v/>
      </c>
      <c r="O23" s="146" t="str">
        <f t="shared" si="4"/>
        <v/>
      </c>
      <c r="P23" s="49"/>
      <c r="Q23" s="189"/>
      <c r="R23" s="189"/>
      <c r="S23" s="73"/>
      <c r="T23" s="71"/>
      <c r="AI23" s="115" t="e">
        <f>IF(#REF!="","",#REF!)</f>
        <v>#REF!</v>
      </c>
    </row>
    <row r="24" spans="1:35" s="50" customFormat="1" ht="30" customHeight="1" thickBot="1" x14ac:dyDescent="0.35">
      <c r="A24" s="184"/>
      <c r="B24" s="222" t="str">
        <f>IF(A24:A41="","",IF(N$4="sys/",VLOOKUP(A24:A41,#REF!,4,FALSE),VLOOKUP(A24:A41,#REF!,4,FALSE)))</f>
        <v/>
      </c>
      <c r="C24" s="223"/>
      <c r="D24" s="224"/>
      <c r="E24" s="225" t="str">
        <f>IF(A24:A41="","",IF(N$4="sys/",VLOOKUP(A24:A41,#REF!,7,FALSE),VLOOKUP(A24:A41,#REF!,7,FALSE)))</f>
        <v/>
      </c>
      <c r="F24" s="226"/>
      <c r="G24" s="118" t="str">
        <f>IF(A24:A41="","",IF(P$4="sys/",VLOOKUP(A24:A41,#REF!,9,FALSE),VLOOKUP(A24:A41,#REF!,9,FALSE)))</f>
        <v/>
      </c>
      <c r="H24" s="188"/>
      <c r="I24" s="118" t="str">
        <f t="shared" si="3"/>
        <v/>
      </c>
      <c r="J24" s="145" t="str">
        <f>IF(A24:A41="","",IF(N$4="sys/",VLOOKUP(A24:A41,#REF!,8,FALSE),VLOOKUP(A24:A41,#REF!,8,FALSE)))</f>
        <v/>
      </c>
      <c r="K24" s="188"/>
      <c r="L24" s="143">
        <f t="shared" si="0"/>
        <v>0</v>
      </c>
      <c r="M24" s="145" t="str">
        <f t="shared" si="1"/>
        <v/>
      </c>
      <c r="N24" s="145" t="str">
        <f t="shared" si="2"/>
        <v/>
      </c>
      <c r="O24" s="146" t="str">
        <f t="shared" si="4"/>
        <v/>
      </c>
      <c r="P24" s="49"/>
      <c r="Q24" s="189"/>
      <c r="R24" s="189"/>
      <c r="S24" s="73"/>
      <c r="T24" s="71"/>
      <c r="AI24" s="115" t="e">
        <f>IF(#REF!="","",#REF!)</f>
        <v>#REF!</v>
      </c>
    </row>
    <row r="25" spans="1:35" s="50" customFormat="1" ht="30" customHeight="1" thickBot="1" x14ac:dyDescent="0.35">
      <c r="A25" s="184"/>
      <c r="B25" s="222" t="str">
        <f>IF(A25:A42="","",IF(N$4="sys/",VLOOKUP(A25:A42,#REF!,4,FALSE),VLOOKUP(A25:A42,#REF!,4,FALSE)))</f>
        <v/>
      </c>
      <c r="C25" s="223"/>
      <c r="D25" s="224"/>
      <c r="E25" s="225" t="str">
        <f>IF(A25:A42="","",IF(N$4="sys/",VLOOKUP(A25:A42,#REF!,7,FALSE),VLOOKUP(A25:A42,#REF!,7,FALSE)))</f>
        <v/>
      </c>
      <c r="F25" s="226"/>
      <c r="G25" s="118" t="str">
        <f>IF(A25:A42="","",IF(P$4="sys/",VLOOKUP(A25:A42,#REF!,9,FALSE),VLOOKUP(A25:A42,#REF!,9,FALSE)))</f>
        <v/>
      </c>
      <c r="H25" s="188"/>
      <c r="I25" s="118" t="str">
        <f t="shared" si="3"/>
        <v/>
      </c>
      <c r="J25" s="145" t="str">
        <f>IF(A25:A42="","",IF(N$4="sys/",VLOOKUP(A25:A42,#REF!,8,FALSE),VLOOKUP(A25:A42,#REF!,8,FALSE)))</f>
        <v/>
      </c>
      <c r="K25" s="188"/>
      <c r="L25" s="143">
        <f t="shared" si="0"/>
        <v>0</v>
      </c>
      <c r="M25" s="145" t="str">
        <f t="shared" si="1"/>
        <v/>
      </c>
      <c r="N25" s="145" t="str">
        <f t="shared" si="2"/>
        <v/>
      </c>
      <c r="O25" s="146" t="str">
        <f t="shared" si="4"/>
        <v/>
      </c>
      <c r="P25" s="49"/>
      <c r="Q25" s="189"/>
      <c r="R25" s="189"/>
      <c r="S25" s="73"/>
      <c r="U25" s="50">
        <f t="shared" ref="U25:U30" si="5">Q25*K25*T25</f>
        <v>0</v>
      </c>
      <c r="AI25" s="115" t="e">
        <f>IF(#REF!="","",#REF!)</f>
        <v>#REF!</v>
      </c>
    </row>
    <row r="26" spans="1:35" s="50" customFormat="1" ht="30.75" customHeight="1" thickBot="1" x14ac:dyDescent="0.35">
      <c r="A26" s="184"/>
      <c r="B26" s="222" t="str">
        <f>IF(A26:A43="","",IF(N$4="sys/",VLOOKUP(A26:A43,#REF!,4,FALSE),VLOOKUP(A26:A43,#REF!,4,FALSE)))</f>
        <v/>
      </c>
      <c r="C26" s="223"/>
      <c r="D26" s="224"/>
      <c r="E26" s="225" t="str">
        <f>IF(A26:A43="","",IF(N$4="sys/",VLOOKUP(A26:A43,#REF!,7,FALSE),VLOOKUP(A26:A43,#REF!,7,FALSE)))</f>
        <v/>
      </c>
      <c r="F26" s="226"/>
      <c r="G26" s="118" t="str">
        <f>IF(A26:A43="","",IF(P$4="sys/",VLOOKUP(A26:A43,#REF!,9,FALSE),VLOOKUP(A26:A43,#REF!,9,FALSE)))</f>
        <v/>
      </c>
      <c r="H26" s="188"/>
      <c r="I26" s="118" t="str">
        <f t="shared" si="3"/>
        <v/>
      </c>
      <c r="J26" s="145" t="str">
        <f>IF(A26:A43="","",IF(N$4="sys/",VLOOKUP(A26:A43,#REF!,8,FALSE),VLOOKUP(A26:A43,#REF!,8,FALSE)))</f>
        <v/>
      </c>
      <c r="K26" s="188"/>
      <c r="L26" s="143">
        <f t="shared" si="0"/>
        <v>0</v>
      </c>
      <c r="M26" s="145" t="str">
        <f t="shared" si="1"/>
        <v/>
      </c>
      <c r="N26" s="145" t="str">
        <f t="shared" si="2"/>
        <v/>
      </c>
      <c r="O26" s="146" t="str">
        <f t="shared" si="4"/>
        <v/>
      </c>
      <c r="P26" s="49"/>
      <c r="Q26" s="189"/>
      <c r="R26" s="189"/>
      <c r="S26" s="73"/>
      <c r="U26" s="50">
        <f t="shared" si="5"/>
        <v>0</v>
      </c>
      <c r="AI26" s="115" t="e">
        <f>IF(#REF!="","",#REF!)</f>
        <v>#REF!</v>
      </c>
    </row>
    <row r="27" spans="1:35" s="50" customFormat="1" ht="30" customHeight="1" thickBot="1" x14ac:dyDescent="0.35">
      <c r="A27" s="184"/>
      <c r="B27" s="222" t="str">
        <f>IF(A27:A44="","",IF(N$4="sys/",VLOOKUP(A27:A44,#REF!,4,FALSE),VLOOKUP(A27:A44,#REF!,4,FALSE)))</f>
        <v/>
      </c>
      <c r="C27" s="223"/>
      <c r="D27" s="224"/>
      <c r="E27" s="225" t="str">
        <f>IF(A27:A44="","",IF(N$4="sys/",VLOOKUP(A27:A44,#REF!,7,FALSE),VLOOKUP(A27:A44,#REF!,7,FALSE)))</f>
        <v/>
      </c>
      <c r="F27" s="226"/>
      <c r="G27" s="118" t="str">
        <f>IF(A27:A44="","",IF(P$4="sys/",VLOOKUP(A27:A44,#REF!,9,FALSE),VLOOKUP(A27:A44,#REF!,9,FALSE)))</f>
        <v/>
      </c>
      <c r="H27" s="188"/>
      <c r="I27" s="118" t="str">
        <f t="shared" si="3"/>
        <v/>
      </c>
      <c r="J27" s="145" t="str">
        <f>IF(A27:A44="","",IF(N$4="sys/",VLOOKUP(A27:A44,#REF!,8,FALSE),VLOOKUP(A27:A44,#REF!,8,FALSE)))</f>
        <v/>
      </c>
      <c r="K27" s="188"/>
      <c r="L27" s="143">
        <f t="shared" si="0"/>
        <v>0</v>
      </c>
      <c r="M27" s="145" t="str">
        <f t="shared" si="1"/>
        <v/>
      </c>
      <c r="N27" s="145" t="str">
        <f t="shared" si="2"/>
        <v/>
      </c>
      <c r="O27" s="146" t="str">
        <f t="shared" si="4"/>
        <v/>
      </c>
      <c r="P27" s="49"/>
      <c r="Q27" s="189"/>
      <c r="R27" s="189"/>
      <c r="S27" s="73"/>
      <c r="U27" s="50">
        <f t="shared" si="5"/>
        <v>0</v>
      </c>
      <c r="AI27" s="115" t="e">
        <f>IF(#REF!="","",#REF!)</f>
        <v>#REF!</v>
      </c>
    </row>
    <row r="28" spans="1:35" s="50" customFormat="1" ht="30" customHeight="1" thickBot="1" x14ac:dyDescent="0.35">
      <c r="A28" s="184"/>
      <c r="B28" s="222" t="str">
        <f>IF(A28:A45="","",IF(N$4="sys/",VLOOKUP(A28:A45,#REF!,4,FALSE),VLOOKUP(A28:A45,#REF!,4,FALSE)))</f>
        <v/>
      </c>
      <c r="C28" s="223"/>
      <c r="D28" s="224"/>
      <c r="E28" s="225" t="str">
        <f>IF(A28:A45="","",IF(N$4="sys/",VLOOKUP(A28:A45,#REF!,7,FALSE),VLOOKUP(A28:A45,#REF!,7,FALSE)))</f>
        <v/>
      </c>
      <c r="F28" s="226"/>
      <c r="G28" s="118" t="str">
        <f>IF(A28:A45="","",IF(P$4="sys/",VLOOKUP(A28:A45,#REF!,9,FALSE),VLOOKUP(A28:A45,#REF!,9,FALSE)))</f>
        <v/>
      </c>
      <c r="H28" s="188"/>
      <c r="I28" s="118" t="str">
        <f t="shared" si="3"/>
        <v/>
      </c>
      <c r="J28" s="145" t="str">
        <f>IF(A28:A45="","",IF(N$4="sys/",VLOOKUP(A28:A45,#REF!,8,FALSE),VLOOKUP(A28:A45,#REF!,8,FALSE)))</f>
        <v/>
      </c>
      <c r="K28" s="188"/>
      <c r="L28" s="143">
        <f t="shared" si="0"/>
        <v>0</v>
      </c>
      <c r="M28" s="145" t="str">
        <f t="shared" si="1"/>
        <v/>
      </c>
      <c r="N28" s="145" t="str">
        <f t="shared" si="2"/>
        <v/>
      </c>
      <c r="O28" s="146" t="str">
        <f t="shared" si="4"/>
        <v/>
      </c>
      <c r="P28" s="49"/>
      <c r="Q28" s="190"/>
      <c r="R28" s="190"/>
      <c r="S28" s="73"/>
      <c r="T28" s="63"/>
      <c r="U28" s="50">
        <f t="shared" si="5"/>
        <v>0</v>
      </c>
    </row>
    <row r="29" spans="1:35" s="50" customFormat="1" ht="30" customHeight="1" thickBot="1" x14ac:dyDescent="0.35">
      <c r="A29" s="184"/>
      <c r="B29" s="222" t="str">
        <f>IF(A29:A46="","",IF(N$4="sys/",VLOOKUP(A29:A46,#REF!,4,FALSE),VLOOKUP(A29:A46,#REF!,4,FALSE)))</f>
        <v/>
      </c>
      <c r="C29" s="223"/>
      <c r="D29" s="224"/>
      <c r="E29" s="225" t="str">
        <f>IF(A29:A46="","",IF(N$4="sys/",VLOOKUP(A29:A46,#REF!,7,FALSE),VLOOKUP(A29:A46,#REF!,7,FALSE)))</f>
        <v/>
      </c>
      <c r="F29" s="226"/>
      <c r="G29" s="118" t="str">
        <f>IF(A29:A46="","",IF(P$4="sys/",VLOOKUP(A29:A46,#REF!,9,FALSE),VLOOKUP(A29:A46,#REF!,9,FALSE)))</f>
        <v/>
      </c>
      <c r="H29" s="188"/>
      <c r="I29" s="118" t="str">
        <f t="shared" si="3"/>
        <v/>
      </c>
      <c r="J29" s="145" t="str">
        <f>IF(A29:A46="","",IF(N$4="sys/",VLOOKUP(A29:A46,#REF!,8,FALSE),VLOOKUP(A29:A46,#REF!,8,FALSE)))</f>
        <v/>
      </c>
      <c r="K29" s="188"/>
      <c r="L29" s="143">
        <f t="shared" si="0"/>
        <v>0</v>
      </c>
      <c r="M29" s="145" t="str">
        <f t="shared" si="1"/>
        <v/>
      </c>
      <c r="N29" s="145" t="str">
        <f t="shared" si="2"/>
        <v/>
      </c>
      <c r="O29" s="146" t="str">
        <f t="shared" si="4"/>
        <v/>
      </c>
      <c r="P29" s="49"/>
      <c r="Q29" s="190"/>
      <c r="R29" s="190"/>
      <c r="S29" s="73"/>
      <c r="T29" s="63"/>
      <c r="U29" s="50">
        <f t="shared" si="5"/>
        <v>0</v>
      </c>
    </row>
    <row r="30" spans="1:35" s="50" customFormat="1" ht="30" customHeight="1" thickBot="1" x14ac:dyDescent="0.35">
      <c r="A30" s="184"/>
      <c r="B30" s="222" t="str">
        <f>IF(A30:A47="","",IF(N$4="sys/",VLOOKUP(A30:A47,#REF!,4,FALSE),VLOOKUP(A30:A47,#REF!,4,FALSE)))</f>
        <v/>
      </c>
      <c r="C30" s="223"/>
      <c r="D30" s="224"/>
      <c r="E30" s="225" t="str">
        <f>IF(A30:A47="","",IF(N$4="sys/",VLOOKUP(A30:A47,#REF!,7,FALSE),VLOOKUP(A30:A47,#REF!,7,FALSE)))</f>
        <v/>
      </c>
      <c r="F30" s="226"/>
      <c r="G30" s="118" t="str">
        <f>IF(A30:A47="","",IF(P$4="sys/",VLOOKUP(A30:A47,#REF!,9,FALSE),VLOOKUP(A30:A47,#REF!,9,FALSE)))</f>
        <v/>
      </c>
      <c r="H30" s="188"/>
      <c r="I30" s="118" t="str">
        <f t="shared" si="3"/>
        <v/>
      </c>
      <c r="J30" s="145" t="str">
        <f>IF(A30:A47="","",IF(N$4="sys/",VLOOKUP(A30:A47,#REF!,8,FALSE),VLOOKUP(A30:A47,#REF!,8,FALSE)))</f>
        <v/>
      </c>
      <c r="K30" s="188"/>
      <c r="L30" s="143">
        <f t="shared" si="0"/>
        <v>0</v>
      </c>
      <c r="M30" s="145" t="str">
        <f t="shared" si="1"/>
        <v/>
      </c>
      <c r="N30" s="145" t="str">
        <f t="shared" si="2"/>
        <v/>
      </c>
      <c r="O30" s="146" t="str">
        <f t="shared" si="4"/>
        <v/>
      </c>
      <c r="P30" s="49"/>
      <c r="Q30" s="190"/>
      <c r="R30" s="190"/>
      <c r="S30" s="73"/>
      <c r="T30" s="63"/>
      <c r="U30" s="50">
        <f t="shared" si="5"/>
        <v>0</v>
      </c>
    </row>
    <row r="31" spans="1:35" s="50" customFormat="1" ht="30" customHeight="1" thickBot="1" x14ac:dyDescent="0.35">
      <c r="A31" s="184"/>
      <c r="B31" s="222" t="str">
        <f>IF(A31:A48="","",IF(N$4="sys/",VLOOKUP(A31:A48,#REF!,4,FALSE),VLOOKUP(A31:A48,#REF!,4,FALSE)))</f>
        <v/>
      </c>
      <c r="C31" s="223"/>
      <c r="D31" s="224"/>
      <c r="E31" s="225" t="str">
        <f>IF(A31:A48="","",IF(N$4="sys/",VLOOKUP(A31:A48,#REF!,7,FALSE),VLOOKUP(A31:A48,#REF!,7,FALSE)))</f>
        <v/>
      </c>
      <c r="F31" s="226"/>
      <c r="G31" s="118" t="str">
        <f>IF(A31:A48="","",IF(P$4="sys/",VLOOKUP(A31:A48,#REF!,9,FALSE),VLOOKUP(A31:A48,#REF!,9,FALSE)))</f>
        <v/>
      </c>
      <c r="H31" s="188"/>
      <c r="I31" s="118" t="str">
        <f t="shared" si="3"/>
        <v/>
      </c>
      <c r="J31" s="145" t="str">
        <f>IF(A31:A48="","",IF(N$4="sys/",VLOOKUP(A31:A48,#REF!,8,FALSE),VLOOKUP(A31:A48,#REF!,8,FALSE)))</f>
        <v/>
      </c>
      <c r="K31" s="188"/>
      <c r="L31" s="143">
        <f t="shared" si="0"/>
        <v>0</v>
      </c>
      <c r="M31" s="145" t="str">
        <f t="shared" si="1"/>
        <v/>
      </c>
      <c r="N31" s="145" t="str">
        <f t="shared" si="2"/>
        <v/>
      </c>
      <c r="O31" s="146" t="str">
        <f t="shared" si="4"/>
        <v/>
      </c>
      <c r="P31" s="49"/>
      <c r="Q31" s="190"/>
      <c r="R31" s="116"/>
      <c r="T31" s="63"/>
      <c r="U31" s="50">
        <f>SUM(U17:U30)</f>
        <v>0</v>
      </c>
    </row>
    <row r="32" spans="1:35" s="50" customFormat="1" ht="30" customHeight="1" thickBot="1" x14ac:dyDescent="0.35">
      <c r="A32" s="184"/>
      <c r="B32" s="222" t="str">
        <f>IF(A32:A49="","",IF(N$4="sys/",VLOOKUP(A32:A49,#REF!,4,FALSE),VLOOKUP(A32:A49,#REF!,4,FALSE)))</f>
        <v/>
      </c>
      <c r="C32" s="223"/>
      <c r="D32" s="224"/>
      <c r="E32" s="225" t="str">
        <f>IF(A32:A49="","",IF(N$4="sys/",VLOOKUP(A32:A49,#REF!,7,FALSE),VLOOKUP(A32:A49,#REF!,7,FALSE)))</f>
        <v/>
      </c>
      <c r="F32" s="226"/>
      <c r="G32" s="118" t="str">
        <f>IF(A32:A49="","",IF(P$4="sys/",VLOOKUP(A32:A49,#REF!,9,FALSE),VLOOKUP(A32:A49,#REF!,9,FALSE)))</f>
        <v/>
      </c>
      <c r="H32" s="188"/>
      <c r="I32" s="118" t="str">
        <f t="shared" si="3"/>
        <v/>
      </c>
      <c r="J32" s="145" t="str">
        <f>IF(A32:A49="","",IF(N$4="sys/",VLOOKUP(A32:A49,#REF!,8,FALSE),VLOOKUP(A32:A49,#REF!,8,FALSE)))</f>
        <v/>
      </c>
      <c r="K32" s="188"/>
      <c r="L32" s="143">
        <f t="shared" si="0"/>
        <v>0</v>
      </c>
      <c r="M32" s="145" t="str">
        <f t="shared" si="1"/>
        <v/>
      </c>
      <c r="N32" s="145" t="str">
        <f t="shared" si="2"/>
        <v/>
      </c>
      <c r="O32" s="146" t="str">
        <f t="shared" si="4"/>
        <v/>
      </c>
      <c r="P32" s="49"/>
      <c r="Q32" s="190"/>
      <c r="R32" s="116"/>
      <c r="T32" s="63"/>
      <c r="U32" s="191">
        <f>SUM(U17:U30)/O44</f>
        <v>0</v>
      </c>
    </row>
    <row r="33" spans="1:35" s="50" customFormat="1" ht="30" customHeight="1" thickBot="1" x14ac:dyDescent="0.35">
      <c r="A33" s="184"/>
      <c r="B33" s="222" t="str">
        <f>IF(A33:A50="","",IF(N$4="sys/",VLOOKUP(A33:A50,#REF!,4,FALSE),VLOOKUP(A33:A50,#REF!,4,FALSE)))</f>
        <v/>
      </c>
      <c r="C33" s="223"/>
      <c r="D33" s="224"/>
      <c r="E33" s="225" t="str">
        <f>IF(A33:A50="","",IF(N$4="sys/",VLOOKUP(A33:A50,#REF!,7,FALSE),VLOOKUP(A33:A50,#REF!,7,FALSE)))</f>
        <v/>
      </c>
      <c r="F33" s="226"/>
      <c r="G33" s="118" t="str">
        <f>IF(A33:A50="","",IF(P$4="sys/",VLOOKUP(A33:A50,#REF!,9,FALSE),VLOOKUP(A33:A50,#REF!,9,FALSE)))</f>
        <v/>
      </c>
      <c r="H33" s="188"/>
      <c r="I33" s="118" t="str">
        <f t="shared" si="3"/>
        <v/>
      </c>
      <c r="J33" s="145" t="str">
        <f>IF(A33:A50="","",IF(N$4="sys/",VLOOKUP(A33:A50,#REF!,8,FALSE),VLOOKUP(A33:A50,#REF!,8,FALSE)))</f>
        <v/>
      </c>
      <c r="K33" s="188"/>
      <c r="L33" s="143">
        <f t="shared" si="0"/>
        <v>0</v>
      </c>
      <c r="M33" s="145" t="str">
        <f t="shared" si="1"/>
        <v/>
      </c>
      <c r="N33" s="145" t="str">
        <f t="shared" si="2"/>
        <v/>
      </c>
      <c r="O33" s="146" t="str">
        <f t="shared" si="4"/>
        <v/>
      </c>
      <c r="P33" s="49"/>
      <c r="Q33" s="190"/>
      <c r="R33" s="116"/>
      <c r="T33" s="63"/>
      <c r="AI33"/>
    </row>
    <row r="34" spans="1:35" s="50" customFormat="1" ht="30" customHeight="1" thickBot="1" x14ac:dyDescent="0.35">
      <c r="A34" s="185"/>
      <c r="B34" s="222" t="str">
        <f>IF(A34:A51="","",IF(N$4="sys/",VLOOKUP(A34:A51,#REF!,4,FALSE),VLOOKUP(A34:A51,#REF!,4,FALSE)))</f>
        <v/>
      </c>
      <c r="C34" s="223"/>
      <c r="D34" s="224"/>
      <c r="E34" s="225" t="str">
        <f>IF(A34:A51="","",IF(N$4="sys/",VLOOKUP(A34:A51,#REF!,7,FALSE),VLOOKUP(A34:A51,#REF!,7,FALSE)))</f>
        <v/>
      </c>
      <c r="F34" s="226"/>
      <c r="G34" s="118" t="str">
        <f>IF(A34:A51="","",IF(P$4="sys/",VLOOKUP(A34:A51,#REF!,9,FALSE),VLOOKUP(A34:A51,#REF!,9,FALSE)))</f>
        <v/>
      </c>
      <c r="H34" s="188"/>
      <c r="I34" s="118" t="str">
        <f t="shared" si="3"/>
        <v/>
      </c>
      <c r="J34" s="145" t="str">
        <f>IF(A34:A51="","",IF(N$4="sys/",VLOOKUP(A34:A51,#REF!,8,FALSE),VLOOKUP(A34:A51,#REF!,8,FALSE)))</f>
        <v/>
      </c>
      <c r="K34" s="188"/>
      <c r="L34" s="143">
        <f t="shared" si="0"/>
        <v>0</v>
      </c>
      <c r="M34" s="145" t="str">
        <f t="shared" si="1"/>
        <v/>
      </c>
      <c r="N34" s="145" t="str">
        <f t="shared" si="2"/>
        <v/>
      </c>
      <c r="O34" s="146" t="str">
        <f t="shared" si="4"/>
        <v/>
      </c>
      <c r="P34" s="49"/>
      <c r="Q34" s="190"/>
      <c r="R34" s="116"/>
      <c r="T34" s="63"/>
      <c r="AI34"/>
    </row>
    <row r="35" spans="1:35" ht="17.25" thickBot="1" x14ac:dyDescent="0.35">
      <c r="A35" s="147" t="s">
        <v>5</v>
      </c>
      <c r="B35" s="148"/>
      <c r="C35" s="148"/>
      <c r="D35" s="148"/>
      <c r="E35" s="148"/>
      <c r="F35" s="148"/>
      <c r="G35" s="148"/>
      <c r="H35" s="148"/>
      <c r="I35" s="148">
        <f>AVERAGE(I17:I34)</f>
        <v>1</v>
      </c>
      <c r="J35" s="148"/>
      <c r="K35" s="149">
        <f>SUM(K17:K34)</f>
        <v>6500</v>
      </c>
      <c r="L35" s="149"/>
      <c r="M35" s="149">
        <f>SUM(M17:M34)</f>
        <v>6890</v>
      </c>
      <c r="N35" s="149"/>
      <c r="O35" s="150">
        <f>SUM(O17:O34)</f>
        <v>541260</v>
      </c>
      <c r="Q35" t="s">
        <v>125</v>
      </c>
      <c r="R35" s="76"/>
      <c r="S35" s="76"/>
      <c r="T35" s="76"/>
    </row>
    <row r="36" spans="1:35" ht="21" x14ac:dyDescent="0.3">
      <c r="A36" s="227" t="s">
        <v>37</v>
      </c>
      <c r="B36" s="228"/>
      <c r="C36" s="229" t="s">
        <v>40</v>
      </c>
      <c r="D36" s="229"/>
      <c r="E36" s="152"/>
      <c r="F36" s="152"/>
      <c r="G36" s="152"/>
      <c r="H36" s="152"/>
      <c r="I36" s="152"/>
      <c r="J36" s="152"/>
      <c r="K36" s="152"/>
      <c r="L36" s="152"/>
      <c r="M36" s="230" t="s">
        <v>21</v>
      </c>
      <c r="N36" s="231"/>
      <c r="O36" s="153">
        <f>O35</f>
        <v>541260</v>
      </c>
      <c r="T36" s="46"/>
    </row>
    <row r="37" spans="1:35" ht="18.75" x14ac:dyDescent="0.3">
      <c r="A37" s="227" t="s">
        <v>38</v>
      </c>
      <c r="B37" s="228"/>
      <c r="C37" s="232" t="s">
        <v>145</v>
      </c>
      <c r="D37" s="232"/>
      <c r="E37" s="152"/>
      <c r="F37" s="152"/>
      <c r="G37" s="152"/>
      <c r="H37" s="152"/>
      <c r="I37" s="152"/>
      <c r="J37" s="152"/>
      <c r="K37" s="152"/>
      <c r="L37" s="152"/>
      <c r="M37" s="233" t="s">
        <v>22</v>
      </c>
      <c r="N37" s="234"/>
      <c r="O37" s="154">
        <v>6600</v>
      </c>
      <c r="T37" s="47"/>
    </row>
    <row r="38" spans="1:35" ht="16.5" customHeight="1" x14ac:dyDescent="0.3">
      <c r="A38" s="132" t="s">
        <v>46</v>
      </c>
      <c r="B38" s="152"/>
      <c r="C38" s="155" t="s">
        <v>28</v>
      </c>
      <c r="D38" s="152"/>
      <c r="E38" s="152"/>
      <c r="F38" s="152"/>
      <c r="G38" s="152"/>
      <c r="H38" s="152"/>
      <c r="I38" s="152"/>
      <c r="J38" s="152"/>
      <c r="K38" s="152"/>
      <c r="L38" s="152"/>
      <c r="M38" s="239" t="s">
        <v>26</v>
      </c>
      <c r="N38" s="240"/>
      <c r="O38" s="156">
        <v>0</v>
      </c>
      <c r="U38" s="69"/>
    </row>
    <row r="39" spans="1:35" ht="16.5" customHeight="1" x14ac:dyDescent="0.3">
      <c r="A39" s="157" t="str">
        <f>IF(B1=X1,Z3,AA3)</f>
        <v>PAYEE:SINOCHEM TIANJIN CO., LTD</v>
      </c>
      <c r="B39" s="152"/>
      <c r="C39" s="152"/>
      <c r="D39" s="152"/>
      <c r="E39" s="152"/>
      <c r="F39" s="152"/>
      <c r="G39" s="152"/>
      <c r="H39" s="152"/>
      <c r="I39" s="152"/>
      <c r="J39" s="152"/>
      <c r="K39" s="152"/>
      <c r="L39" s="152"/>
      <c r="M39" s="239" t="s">
        <v>27</v>
      </c>
      <c r="N39" s="240"/>
      <c r="O39" s="156">
        <v>0</v>
      </c>
    </row>
    <row r="40" spans="1:35" ht="16.5" customHeight="1" x14ac:dyDescent="0.3">
      <c r="A40" s="158" t="s">
        <v>13</v>
      </c>
      <c r="B40" s="152"/>
      <c r="C40" s="152"/>
      <c r="D40" s="152"/>
      <c r="E40" s="152"/>
      <c r="F40" s="152"/>
      <c r="G40" s="152"/>
      <c r="H40" s="152"/>
      <c r="I40" s="152"/>
      <c r="J40" s="152"/>
      <c r="K40" s="152"/>
      <c r="L40" s="152"/>
      <c r="M40" s="152"/>
      <c r="N40" s="152"/>
      <c r="O40" s="156">
        <v>0</v>
      </c>
    </row>
    <row r="41" spans="1:35" ht="16.5" customHeight="1" x14ac:dyDescent="0.3">
      <c r="A41" s="158" t="s">
        <v>14</v>
      </c>
      <c r="B41" s="152"/>
      <c r="C41" s="152"/>
      <c r="D41" s="152"/>
      <c r="E41" s="152"/>
      <c r="F41" s="152"/>
      <c r="G41" s="152"/>
      <c r="H41" s="152"/>
      <c r="I41" s="152"/>
      <c r="J41" s="152"/>
      <c r="K41" s="152"/>
      <c r="L41" s="152"/>
      <c r="M41" s="152"/>
      <c r="N41" s="152"/>
      <c r="O41" s="156">
        <v>0</v>
      </c>
    </row>
    <row r="42" spans="1:35" ht="16.5" customHeight="1" x14ac:dyDescent="0.3">
      <c r="A42" s="158" t="s">
        <v>15</v>
      </c>
      <c r="B42" s="152"/>
      <c r="C42" s="152"/>
      <c r="D42" s="152"/>
      <c r="E42" s="152"/>
      <c r="F42" s="152"/>
      <c r="G42" s="152"/>
      <c r="H42" s="152"/>
      <c r="I42" s="152"/>
      <c r="J42" s="152"/>
      <c r="K42" s="152"/>
      <c r="L42" s="152"/>
      <c r="M42" s="152"/>
      <c r="N42" s="152"/>
      <c r="O42" s="156">
        <v>0</v>
      </c>
    </row>
    <row r="43" spans="1:35" ht="16.5" customHeight="1" x14ac:dyDescent="0.3">
      <c r="A43" s="158" t="s">
        <v>16</v>
      </c>
      <c r="B43" s="152"/>
      <c r="C43" s="152"/>
      <c r="D43" s="152"/>
      <c r="E43" s="152"/>
      <c r="F43" s="152"/>
      <c r="G43" s="152"/>
      <c r="H43" s="152"/>
      <c r="I43" s="152"/>
      <c r="J43" s="152"/>
      <c r="K43" s="152"/>
      <c r="L43" s="152"/>
      <c r="M43" s="152"/>
      <c r="N43" s="152"/>
      <c r="O43" s="156">
        <v>0</v>
      </c>
      <c r="Q43" s="72">
        <v>426655.25</v>
      </c>
    </row>
    <row r="44" spans="1:35" ht="21.75" thickBot="1" x14ac:dyDescent="0.4">
      <c r="A44" s="158" t="str">
        <f>IF(B1=X1,Z2,AA2)</f>
        <v>ACCOUNT NUMBER:10002000096220000016</v>
      </c>
      <c r="B44" s="133"/>
      <c r="C44" s="133"/>
      <c r="D44" s="133"/>
      <c r="E44" s="133"/>
      <c r="F44" s="133"/>
      <c r="G44" s="133"/>
      <c r="H44" s="133"/>
      <c r="I44" s="133"/>
      <c r="J44" s="133"/>
      <c r="K44" s="133"/>
      <c r="L44" s="133"/>
      <c r="M44" s="241" t="s">
        <v>25</v>
      </c>
      <c r="N44" s="242"/>
      <c r="O44" s="159">
        <f>SUM(O36+O37)</f>
        <v>547860</v>
      </c>
    </row>
    <row r="45" spans="1:35" ht="18.75" thickBot="1" x14ac:dyDescent="0.35">
      <c r="A45" s="243" t="s">
        <v>83</v>
      </c>
      <c r="B45" s="244"/>
      <c r="C45" s="245" t="e">
        <f ca="1">SpellNumber(O44)</f>
        <v>#NAME?</v>
      </c>
      <c r="D45" s="245"/>
      <c r="E45" s="245"/>
      <c r="F45" s="245"/>
      <c r="G45" s="245"/>
      <c r="H45" s="245"/>
      <c r="I45" s="245"/>
      <c r="J45" s="245"/>
      <c r="K45" s="246"/>
      <c r="L45" s="160"/>
      <c r="M45" s="133"/>
      <c r="N45" s="133"/>
      <c r="O45" s="161" t="s">
        <v>51</v>
      </c>
    </row>
    <row r="46" spans="1:35" x14ac:dyDescent="0.3">
      <c r="A46" s="247"/>
      <c r="B46" s="248"/>
      <c r="C46" s="248"/>
      <c r="D46" s="248"/>
      <c r="E46" s="248"/>
      <c r="F46" s="248"/>
      <c r="G46" s="248"/>
      <c r="H46" s="248"/>
      <c r="I46" s="248"/>
      <c r="J46" s="248"/>
      <c r="K46" s="248"/>
      <c r="L46" s="162"/>
      <c r="M46" s="133"/>
      <c r="N46" s="133"/>
      <c r="O46" s="163"/>
    </row>
    <row r="47" spans="1:35" ht="16.5" x14ac:dyDescent="0.3">
      <c r="A47" s="164" t="s">
        <v>8</v>
      </c>
      <c r="B47" s="165"/>
      <c r="C47" s="165"/>
      <c r="D47" s="165"/>
      <c r="E47" s="165"/>
      <c r="F47" s="165"/>
      <c r="G47" s="165"/>
      <c r="H47" s="165"/>
      <c r="I47" s="165"/>
      <c r="J47" s="165"/>
      <c r="K47" s="165"/>
      <c r="L47" s="165"/>
      <c r="M47" s="165"/>
      <c r="N47" s="165"/>
      <c r="O47" s="166"/>
    </row>
    <row r="48" spans="1:35" x14ac:dyDescent="0.3">
      <c r="A48" s="167" t="s">
        <v>4</v>
      </c>
      <c r="B48" s="168"/>
      <c r="C48" s="168" t="s">
        <v>28</v>
      </c>
      <c r="D48" s="168"/>
      <c r="E48" s="168"/>
      <c r="F48" s="168"/>
      <c r="G48" s="133"/>
      <c r="H48" s="133"/>
      <c r="I48" s="133"/>
      <c r="J48" s="133"/>
      <c r="K48" s="133"/>
      <c r="L48" s="133"/>
      <c r="M48" s="133"/>
      <c r="N48" s="133"/>
      <c r="O48" s="163"/>
    </row>
    <row r="49" spans="1:21" x14ac:dyDescent="0.3">
      <c r="A49" s="167" t="s">
        <v>2</v>
      </c>
      <c r="B49" s="168"/>
      <c r="C49" s="168" t="s">
        <v>28</v>
      </c>
      <c r="D49" s="168"/>
      <c r="E49" s="168"/>
      <c r="F49" s="168"/>
      <c r="G49" s="133"/>
      <c r="H49" s="133"/>
      <c r="I49" s="133"/>
      <c r="J49" s="133"/>
      <c r="K49" s="133"/>
      <c r="L49" s="133"/>
      <c r="M49" s="133"/>
      <c r="N49" s="133"/>
      <c r="O49" s="163"/>
      <c r="U49" t="e">
        <f ca="1">SpellNumber(O44)</f>
        <v>#NAME?</v>
      </c>
    </row>
    <row r="50" spans="1:21" x14ac:dyDescent="0.3">
      <c r="A50" s="167" t="s">
        <v>3</v>
      </c>
      <c r="B50" s="168"/>
      <c r="C50" s="168" t="s">
        <v>29</v>
      </c>
      <c r="D50" s="168"/>
      <c r="E50" s="168"/>
      <c r="F50" s="168"/>
      <c r="G50" s="133"/>
      <c r="H50" s="133"/>
      <c r="I50" s="133"/>
      <c r="J50" s="133"/>
      <c r="K50" s="133"/>
      <c r="L50" s="133"/>
      <c r="M50" s="133"/>
      <c r="N50" s="133"/>
      <c r="O50" s="163"/>
    </row>
    <row r="51" spans="1:21" x14ac:dyDescent="0.3">
      <c r="A51" s="167"/>
      <c r="B51" s="168"/>
      <c r="C51" s="168"/>
      <c r="D51" s="168"/>
      <c r="E51" s="168"/>
      <c r="F51" s="168"/>
      <c r="G51" s="133"/>
      <c r="H51" s="133"/>
      <c r="I51" s="133"/>
      <c r="J51" s="133"/>
      <c r="K51" s="133"/>
      <c r="L51" s="133"/>
      <c r="M51" s="133"/>
      <c r="N51" s="133"/>
      <c r="O51" s="163"/>
      <c r="T51" t="e">
        <f ca="1">SpellNumber(O44)</f>
        <v>#NAME?</v>
      </c>
    </row>
    <row r="52" spans="1:21" x14ac:dyDescent="0.3">
      <c r="A52" s="169" t="s">
        <v>6</v>
      </c>
      <c r="B52" s="151"/>
      <c r="C52" s="229" t="s">
        <v>24</v>
      </c>
      <c r="D52" s="229"/>
      <c r="E52" s="229"/>
      <c r="F52" s="229"/>
      <c r="G52" s="170"/>
      <c r="H52" s="170"/>
      <c r="I52" s="170"/>
      <c r="J52" s="170"/>
      <c r="K52" s="170"/>
      <c r="L52" s="170"/>
      <c r="M52" s="170"/>
      <c r="N52" s="170"/>
      <c r="O52" s="163"/>
      <c r="T52" t="e">
        <f ca="1">SpellNumber(O44)</f>
        <v>#NAME?</v>
      </c>
    </row>
    <row r="53" spans="1:21" x14ac:dyDescent="0.3">
      <c r="A53" s="171"/>
      <c r="B53" s="170"/>
      <c r="C53" s="170"/>
      <c r="D53" s="170"/>
      <c r="E53" s="170"/>
      <c r="F53" s="170"/>
      <c r="G53" s="170"/>
      <c r="H53" s="170"/>
      <c r="I53" s="170"/>
      <c r="J53" s="170"/>
      <c r="K53" s="170"/>
      <c r="L53" s="170"/>
      <c r="M53" s="170"/>
      <c r="N53" s="170"/>
      <c r="O53" s="163"/>
      <c r="T53" t="e">
        <f ca="1">SpellNumber(O44)</f>
        <v>#NAME?</v>
      </c>
    </row>
    <row r="54" spans="1:21" ht="15" customHeight="1" x14ac:dyDescent="0.3">
      <c r="A54" s="235" t="s">
        <v>30</v>
      </c>
      <c r="B54" s="236"/>
      <c r="C54" s="236"/>
      <c r="D54" s="236"/>
      <c r="E54" s="236"/>
      <c r="F54" s="236"/>
      <c r="G54" s="236"/>
      <c r="H54" s="172"/>
      <c r="I54" s="172"/>
      <c r="J54" s="170"/>
      <c r="K54" s="170"/>
      <c r="L54" s="170"/>
      <c r="M54" s="170"/>
      <c r="N54" s="170"/>
      <c r="O54" s="163"/>
    </row>
    <row r="55" spans="1:21" x14ac:dyDescent="0.3">
      <c r="A55" s="235"/>
      <c r="B55" s="236"/>
      <c r="C55" s="236"/>
      <c r="D55" s="236"/>
      <c r="E55" s="236"/>
      <c r="F55" s="236"/>
      <c r="G55" s="236"/>
      <c r="H55" s="172"/>
      <c r="I55" s="172"/>
      <c r="J55" s="170"/>
      <c r="K55" s="170"/>
      <c r="L55" s="170"/>
      <c r="M55" s="170"/>
      <c r="N55" s="170"/>
      <c r="O55" s="163"/>
    </row>
    <row r="56" spans="1:21" x14ac:dyDescent="0.3">
      <c r="A56" s="235"/>
      <c r="B56" s="236"/>
      <c r="C56" s="236"/>
      <c r="D56" s="236"/>
      <c r="E56" s="236"/>
      <c r="F56" s="236"/>
      <c r="G56" s="236"/>
      <c r="H56" s="172"/>
      <c r="I56" s="172"/>
      <c r="J56" s="170"/>
      <c r="K56" s="170"/>
      <c r="L56" s="170"/>
      <c r="M56" s="170"/>
      <c r="N56" s="170"/>
      <c r="O56" s="163"/>
    </row>
    <row r="57" spans="1:21" x14ac:dyDescent="0.3">
      <c r="A57" s="173" t="s">
        <v>92</v>
      </c>
      <c r="B57" s="174"/>
      <c r="C57" s="170"/>
      <c r="D57" s="170"/>
      <c r="E57" s="170"/>
      <c r="F57" s="170"/>
      <c r="G57" s="170"/>
      <c r="H57" s="170"/>
      <c r="I57" s="170"/>
      <c r="J57" s="170"/>
      <c r="K57" s="170"/>
      <c r="L57" s="170"/>
      <c r="M57" s="170"/>
      <c r="N57" s="170"/>
      <c r="O57" s="163"/>
    </row>
    <row r="58" spans="1:21" ht="15.75" thickBot="1" x14ac:dyDescent="0.35">
      <c r="A58" s="237" t="str">
        <f>IF(B1=X1,Z1,AA1)</f>
        <v>SINOCHEM TIANJIN CO., LTD</v>
      </c>
      <c r="B58" s="238" t="e">
        <f>IF(C57=#REF!,#REF!,#REF!)</f>
        <v>#REF!</v>
      </c>
      <c r="C58" s="238" t="e">
        <f>IF(D57=#REF!,#REF!,#REF!)</f>
        <v>#REF!</v>
      </c>
      <c r="D58" s="238" t="e">
        <f>IF(E57=#REF!,#REF!,#REF!)</f>
        <v>#REF!</v>
      </c>
      <c r="E58" s="175"/>
      <c r="F58" s="176"/>
      <c r="G58" s="176"/>
      <c r="H58" s="176"/>
      <c r="I58" s="176"/>
      <c r="J58" s="176"/>
      <c r="K58" s="176"/>
      <c r="L58" s="176"/>
      <c r="M58" s="176"/>
      <c r="N58" s="176"/>
      <c r="O58" s="177"/>
    </row>
  </sheetData>
  <mergeCells count="68">
    <mergeCell ref="A58:D58"/>
    <mergeCell ref="M38:N38"/>
    <mergeCell ref="M39:N39"/>
    <mergeCell ref="M44:N44"/>
    <mergeCell ref="A45:B45"/>
    <mergeCell ref="C45:K45"/>
    <mergeCell ref="A46:K46"/>
    <mergeCell ref="A37:B37"/>
    <mergeCell ref="C37:D37"/>
    <mergeCell ref="M37:N37"/>
    <mergeCell ref="C52:F52"/>
    <mergeCell ref="A54:G56"/>
    <mergeCell ref="B34:D34"/>
    <mergeCell ref="E34:F34"/>
    <mergeCell ref="A36:B36"/>
    <mergeCell ref="C36:D36"/>
    <mergeCell ref="M36:N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6:D16"/>
    <mergeCell ref="E16:F16"/>
    <mergeCell ref="B17:D17"/>
    <mergeCell ref="E17:F17"/>
    <mergeCell ref="B18:D18"/>
    <mergeCell ref="E18:F18"/>
    <mergeCell ref="M12:N12"/>
    <mergeCell ref="M13:N13"/>
    <mergeCell ref="Q13:R14"/>
    <mergeCell ref="M14:N14"/>
    <mergeCell ref="M15:N15"/>
    <mergeCell ref="A10:D10"/>
    <mergeCell ref="M10:N10"/>
    <mergeCell ref="A11:B11"/>
    <mergeCell ref="C11:D11"/>
    <mergeCell ref="M11:N11"/>
    <mergeCell ref="B1:F1"/>
    <mergeCell ref="N2:O2"/>
    <mergeCell ref="N3:O3"/>
    <mergeCell ref="K5:M5"/>
    <mergeCell ref="N5:O5"/>
  </mergeCells>
  <dataValidations count="3">
    <dataValidation type="list" allowBlank="1" showInputMessage="1" showErrorMessage="1" sqref="A10:D10" xr:uid="{00000000-0002-0000-0300-000000000000}">
      <formula1>$AI$1:$AI$21</formula1>
    </dataValidation>
    <dataValidation type="list" allowBlank="1" showInputMessage="1" showErrorMessage="1" sqref="B1:F1" xr:uid="{00000000-0002-0000-0300-000001000000}">
      <formula1>$X$1:$Y$1</formula1>
    </dataValidation>
    <dataValidation type="list" allowBlank="1" showInputMessage="1" showErrorMessage="1" sqref="H17:H34" xr:uid="{00000000-0002-0000-0300-000002000000}">
      <formula1>$AF$11:$AF$12</formula1>
    </dataValidation>
  </dataValidations>
  <printOptions horizontalCentered="1"/>
  <pageMargins left="0.511811023622047" right="0.511811023622047" top="0.511811023622047" bottom="0.511811023622047" header="0.511811023622047" footer="0.23622047244094499"/>
  <pageSetup scale="6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0"/>
  <dimension ref="A1:AK58"/>
  <sheetViews>
    <sheetView showGridLines="0" zoomScale="93" zoomScaleNormal="93" workbookViewId="0">
      <selection activeCell="H24" sqref="H24"/>
    </sheetView>
  </sheetViews>
  <sheetFormatPr defaultRowHeight="15" x14ac:dyDescent="0.3"/>
  <cols>
    <col min="1" max="3" width="11.42578125" customWidth="1"/>
    <col min="4" max="4" width="21.140625" customWidth="1"/>
    <col min="5" max="5" width="11.42578125" customWidth="1"/>
    <col min="6" max="6" width="17" customWidth="1"/>
    <col min="7" max="7" width="8.140625" bestFit="1" customWidth="1"/>
    <col min="8" max="8" width="8.140625" customWidth="1"/>
    <col min="9" max="9" width="9.42578125" hidden="1" customWidth="1"/>
    <col min="10" max="11" width="11.42578125" customWidth="1"/>
    <col min="12" max="12" width="11.42578125" hidden="1" customWidth="1"/>
    <col min="13" max="14" width="11.42578125" customWidth="1"/>
    <col min="15" max="15" width="16.85546875" customWidth="1"/>
    <col min="16" max="16" width="10.85546875" bestFit="1" customWidth="1"/>
    <col min="17" max="17" width="9.85546875" bestFit="1" customWidth="1"/>
    <col min="20" max="20" width="11.85546875" bestFit="1" customWidth="1"/>
    <col min="35" max="35" width="40.140625" bestFit="1" customWidth="1"/>
  </cols>
  <sheetData>
    <row r="1" spans="1:37" ht="78" customHeight="1" x14ac:dyDescent="0.45">
      <c r="A1" s="183"/>
      <c r="B1" s="204" t="s">
        <v>108</v>
      </c>
      <c r="C1" s="204"/>
      <c r="D1" s="204"/>
      <c r="E1" s="204"/>
      <c r="F1" s="204"/>
      <c r="G1" s="119"/>
      <c r="H1" s="119"/>
      <c r="I1" s="119"/>
      <c r="J1" s="119"/>
      <c r="K1" s="119"/>
      <c r="L1" s="119"/>
      <c r="M1" s="119"/>
      <c r="N1" s="119"/>
      <c r="O1" s="120" t="s">
        <v>7</v>
      </c>
      <c r="X1" s="87" t="s">
        <v>74</v>
      </c>
      <c r="Y1" s="88" t="s">
        <v>108</v>
      </c>
      <c r="Z1" s="38" t="s">
        <v>69</v>
      </c>
      <c r="AA1" s="38" t="s">
        <v>109</v>
      </c>
      <c r="AI1" s="115" t="e">
        <f>IF(#REF!="","",#REF!)</f>
        <v>#REF!</v>
      </c>
    </row>
    <row r="2" spans="1:37" ht="16.5" x14ac:dyDescent="0.3">
      <c r="A2" s="121" t="str">
        <f>IF(B1=X1,Z1,AA1)</f>
        <v>SINOCHEM TIANJIN CO., LTD</v>
      </c>
      <c r="B2" s="122"/>
      <c r="C2" s="122"/>
      <c r="D2" s="123"/>
      <c r="E2" s="123"/>
      <c r="F2" s="123"/>
      <c r="G2" s="123"/>
      <c r="H2" s="123"/>
      <c r="I2" s="123"/>
      <c r="J2" s="123"/>
      <c r="K2" s="124"/>
      <c r="L2" s="124"/>
      <c r="M2" s="125" t="s">
        <v>45</v>
      </c>
      <c r="N2" s="205" t="s">
        <v>97</v>
      </c>
      <c r="O2" s="206"/>
      <c r="Z2" s="89" t="s">
        <v>144</v>
      </c>
      <c r="AA2" s="89" t="s">
        <v>111</v>
      </c>
      <c r="AI2" s="115" t="e">
        <f>IF(#REF!="","",#REF!)</f>
        <v>#REF!</v>
      </c>
    </row>
    <row r="3" spans="1:37" ht="16.5" x14ac:dyDescent="0.3">
      <c r="A3" s="126" t="s">
        <v>11</v>
      </c>
      <c r="B3" s="127"/>
      <c r="C3" s="127"/>
      <c r="D3" s="128"/>
      <c r="E3" s="128"/>
      <c r="F3" s="128"/>
      <c r="G3" s="128"/>
      <c r="H3" s="128"/>
      <c r="I3" s="128"/>
      <c r="J3" s="128"/>
      <c r="K3" s="129"/>
      <c r="L3" s="129"/>
      <c r="M3" s="125" t="s">
        <v>44</v>
      </c>
      <c r="N3" s="205" t="s">
        <v>146</v>
      </c>
      <c r="O3" s="206"/>
      <c r="Z3" s="38" t="s">
        <v>112</v>
      </c>
      <c r="AA3" s="38" t="s">
        <v>113</v>
      </c>
      <c r="AI3" s="115" t="e">
        <f>IF(#REF!="","",#REF!)</f>
        <v>#REF!</v>
      </c>
      <c r="AK3" t="e">
        <f>IF(AI1=0,"",AI1)</f>
        <v>#REF!</v>
      </c>
    </row>
    <row r="4" spans="1:37" ht="15" customHeight="1" x14ac:dyDescent="0.3">
      <c r="A4" s="126" t="s">
        <v>12</v>
      </c>
      <c r="B4" s="127"/>
      <c r="C4" s="127"/>
      <c r="D4" s="123"/>
      <c r="E4" s="123"/>
      <c r="F4" s="123"/>
      <c r="G4" s="123"/>
      <c r="H4" s="123"/>
      <c r="I4" s="123"/>
      <c r="J4" s="123"/>
      <c r="K4" s="124"/>
      <c r="L4" s="124"/>
      <c r="M4" s="125" t="s">
        <v>47</v>
      </c>
      <c r="N4" s="130" t="s">
        <v>98</v>
      </c>
      <c r="O4" s="186" t="s">
        <v>99</v>
      </c>
      <c r="AI4" s="115" t="e">
        <f>IF(#REF!="","",#REF!)</f>
        <v>#REF!</v>
      </c>
    </row>
    <row r="5" spans="1:37" ht="16.5" x14ac:dyDescent="0.3">
      <c r="A5" s="126" t="s">
        <v>10</v>
      </c>
      <c r="B5" s="127"/>
      <c r="C5" s="127"/>
      <c r="D5" s="123"/>
      <c r="E5" s="123"/>
      <c r="F5" s="123"/>
      <c r="G5" s="123"/>
      <c r="H5" s="123"/>
      <c r="I5" s="123"/>
      <c r="J5" s="123"/>
      <c r="K5" s="207"/>
      <c r="L5" s="207"/>
      <c r="M5" s="207"/>
      <c r="N5" s="208"/>
      <c r="O5" s="209"/>
      <c r="AI5" s="115" t="e">
        <f>IF(#REF!="","",#REF!)</f>
        <v>#REF!</v>
      </c>
    </row>
    <row r="6" spans="1:37" ht="16.5" x14ac:dyDescent="0.3">
      <c r="A6" s="126" t="s">
        <v>9</v>
      </c>
      <c r="B6" s="127"/>
      <c r="C6" s="127"/>
      <c r="D6" s="123"/>
      <c r="E6" s="123"/>
      <c r="F6" s="123"/>
      <c r="G6" s="123"/>
      <c r="H6" s="123"/>
      <c r="I6" s="123"/>
      <c r="J6" s="123"/>
      <c r="K6" s="123"/>
      <c r="L6" s="123"/>
      <c r="M6" s="123"/>
      <c r="N6" s="123"/>
      <c r="O6" s="131"/>
      <c r="AI6" s="115" t="e">
        <f>IF(#REF!="","",#REF!)</f>
        <v>#REF!</v>
      </c>
    </row>
    <row r="7" spans="1:37" ht="16.5" x14ac:dyDescent="0.3">
      <c r="A7" s="132"/>
      <c r="B7" s="133"/>
      <c r="C7" s="133"/>
      <c r="D7" s="123"/>
      <c r="E7" s="123"/>
      <c r="F7" s="123"/>
      <c r="G7" s="123"/>
      <c r="H7" s="123"/>
      <c r="I7" s="123"/>
      <c r="J7" s="123"/>
      <c r="K7" s="123"/>
      <c r="L7" s="123"/>
      <c r="M7" s="123"/>
      <c r="N7" s="123"/>
      <c r="O7" s="131"/>
      <c r="S7" s="51"/>
      <c r="T7" s="50"/>
      <c r="AI7" s="115" t="e">
        <f>IF(#REF!="","",#REF!)</f>
        <v>#REF!</v>
      </c>
    </row>
    <row r="8" spans="1:37" ht="17.25" thickBot="1" x14ac:dyDescent="0.35">
      <c r="A8" s="132"/>
      <c r="B8" s="133"/>
      <c r="C8" s="133"/>
      <c r="D8" s="133"/>
      <c r="E8" s="133"/>
      <c r="F8" s="133"/>
      <c r="G8" s="133"/>
      <c r="H8" s="133"/>
      <c r="I8" s="133"/>
      <c r="J8" s="133"/>
      <c r="K8" s="133"/>
      <c r="L8" s="133"/>
      <c r="M8" s="133"/>
      <c r="N8" s="133"/>
      <c r="O8" s="131"/>
      <c r="S8" s="51"/>
      <c r="T8" s="50"/>
      <c r="AI8" s="115" t="e">
        <f>IF(#REF!="","",#REF!)</f>
        <v>#REF!</v>
      </c>
    </row>
    <row r="9" spans="1:37" ht="17.25" thickBot="1" x14ac:dyDescent="0.35">
      <c r="A9" s="192" t="s">
        <v>1</v>
      </c>
      <c r="B9" s="193"/>
      <c r="C9" s="193"/>
      <c r="D9" s="193"/>
      <c r="E9" s="193"/>
      <c r="F9" s="193"/>
      <c r="G9" s="193"/>
      <c r="H9" s="193"/>
      <c r="I9" s="193"/>
      <c r="J9" s="193"/>
      <c r="K9" s="193"/>
      <c r="L9" s="193"/>
      <c r="M9" s="193"/>
      <c r="N9" s="193" t="s">
        <v>31</v>
      </c>
      <c r="O9" s="194"/>
      <c r="AI9" s="115" t="e">
        <f>IF(#REF!="","",#REF!)</f>
        <v>#REF!</v>
      </c>
    </row>
    <row r="10" spans="1:37" ht="16.5" x14ac:dyDescent="0.3">
      <c r="A10" s="210" t="s">
        <v>88</v>
      </c>
      <c r="B10" s="211"/>
      <c r="C10" s="211"/>
      <c r="D10" s="211"/>
      <c r="E10" s="123"/>
      <c r="F10" s="123"/>
      <c r="G10" s="123"/>
      <c r="H10" s="123"/>
      <c r="I10" s="123"/>
      <c r="J10" s="123"/>
      <c r="K10" s="123"/>
      <c r="L10" s="123"/>
      <c r="M10" s="212" t="s">
        <v>32</v>
      </c>
      <c r="N10" s="212"/>
      <c r="O10" s="134" t="s">
        <v>34</v>
      </c>
      <c r="AI10" s="115" t="e">
        <f>IF(#REF!="","",#REF!)</f>
        <v>#REF!</v>
      </c>
    </row>
    <row r="11" spans="1:37" ht="16.5" customHeight="1" x14ac:dyDescent="0.3">
      <c r="A11" s="213" t="s">
        <v>90</v>
      </c>
      <c r="B11" s="214"/>
      <c r="C11" s="214" t="e">
        <f>VLOOKUP(A10,#REF!,2,FALSE)</f>
        <v>#REF!</v>
      </c>
      <c r="D11" s="214"/>
      <c r="E11" s="123"/>
      <c r="F11" s="123"/>
      <c r="G11" s="123"/>
      <c r="H11" s="123"/>
      <c r="I11" s="123"/>
      <c r="J11" s="123"/>
      <c r="K11" s="123"/>
      <c r="L11" s="123"/>
      <c r="M11" s="212" t="s">
        <v>42</v>
      </c>
      <c r="N11" s="212"/>
      <c r="O11" s="134" t="s">
        <v>43</v>
      </c>
      <c r="AF11" t="s">
        <v>105</v>
      </c>
      <c r="AI11" s="115" t="e">
        <f>IF(#REF!="","",#REF!)</f>
        <v>#REF!</v>
      </c>
    </row>
    <row r="12" spans="1:37" ht="16.5" customHeight="1" x14ac:dyDescent="0.3">
      <c r="A12" s="126" t="e">
        <f>VLOOKUP(A10,#REF!,3,FALSE)</f>
        <v>#REF!</v>
      </c>
      <c r="B12" s="127"/>
      <c r="C12" s="127"/>
      <c r="D12" s="123"/>
      <c r="E12" s="123"/>
      <c r="F12" s="123"/>
      <c r="G12" s="123"/>
      <c r="H12" s="123"/>
      <c r="I12" s="123"/>
      <c r="J12" s="123"/>
      <c r="K12" s="123"/>
      <c r="L12" s="123"/>
      <c r="M12" s="212" t="s">
        <v>41</v>
      </c>
      <c r="N12" s="212"/>
      <c r="O12" s="135">
        <f xml:space="preserve"> M35</f>
        <v>6890</v>
      </c>
      <c r="AF12" t="s">
        <v>106</v>
      </c>
      <c r="AI12" s="115" t="e">
        <f>IF(#REF!="","",#REF!)</f>
        <v>#REF!</v>
      </c>
    </row>
    <row r="13" spans="1:37" ht="16.5" customHeight="1" x14ac:dyDescent="0.3">
      <c r="A13" s="126" t="s">
        <v>70</v>
      </c>
      <c r="B13" s="127" t="e">
        <f>VLOOKUP(A10,#REF!,4,FALSE)</f>
        <v>#REF!</v>
      </c>
      <c r="C13" s="127"/>
      <c r="D13" s="123"/>
      <c r="E13" s="123"/>
      <c r="F13" s="123"/>
      <c r="G13" s="123"/>
      <c r="H13" s="123"/>
      <c r="I13" s="123"/>
      <c r="J13" s="123"/>
      <c r="K13" s="123"/>
      <c r="L13" s="123"/>
      <c r="M13" s="212" t="s">
        <v>35</v>
      </c>
      <c r="N13" s="212"/>
      <c r="O13" s="136" t="str">
        <f>IF(I35=1,"Cartons",IF(I35=2,"Drums","Cartons &amp; Drums"))</f>
        <v>Cartons</v>
      </c>
      <c r="Q13" s="215"/>
      <c r="R13" s="215"/>
      <c r="S13" s="195"/>
      <c r="T13" s="64"/>
      <c r="U13" s="65"/>
      <c r="AI13" s="115" t="e">
        <f>IF(#REF!="","",#REF!)</f>
        <v>#REF!</v>
      </c>
    </row>
    <row r="14" spans="1:37" ht="16.5" customHeight="1" x14ac:dyDescent="0.3">
      <c r="A14" s="137" t="s">
        <v>71</v>
      </c>
      <c r="B14" s="138" t="e">
        <f>VLOOKUP(A10,#REF!,5,FALSE)</f>
        <v>#REF!</v>
      </c>
      <c r="C14" s="127"/>
      <c r="D14" s="123"/>
      <c r="E14" s="123"/>
      <c r="F14" s="123"/>
      <c r="G14" s="123"/>
      <c r="H14" s="123"/>
      <c r="I14" s="123"/>
      <c r="J14" s="123"/>
      <c r="K14" s="123"/>
      <c r="L14" s="123"/>
      <c r="M14" s="212" t="s">
        <v>33</v>
      </c>
      <c r="N14" s="212"/>
      <c r="O14" s="136">
        <f>SUM(L17:L34)</f>
        <v>260</v>
      </c>
      <c r="Q14" s="215"/>
      <c r="R14" s="215"/>
      <c r="S14" s="195"/>
      <c r="T14" s="195"/>
      <c r="U14" s="66"/>
      <c r="AI14" s="115" t="e">
        <f>IF(#REF!="","",#REF!)</f>
        <v>#REF!</v>
      </c>
    </row>
    <row r="15" spans="1:37" ht="17.25" thickBot="1" x14ac:dyDescent="0.35">
      <c r="A15" s="132"/>
      <c r="B15" s="133"/>
      <c r="C15" s="138"/>
      <c r="D15" s="133"/>
      <c r="E15" s="133"/>
      <c r="F15" s="133"/>
      <c r="G15" s="133"/>
      <c r="H15" s="133"/>
      <c r="I15" s="133"/>
      <c r="J15" s="133"/>
      <c r="K15" s="133"/>
      <c r="L15" s="133"/>
      <c r="M15" s="212"/>
      <c r="N15" s="212"/>
      <c r="O15" s="134"/>
      <c r="AI15" s="115" t="e">
        <f>IF(#REF!="","",#REF!)</f>
        <v>#REF!</v>
      </c>
    </row>
    <row r="16" spans="1:37" ht="48.75" customHeight="1" thickBot="1" x14ac:dyDescent="0.35">
      <c r="A16" s="179" t="s">
        <v>17</v>
      </c>
      <c r="B16" s="216" t="s">
        <v>0</v>
      </c>
      <c r="C16" s="216"/>
      <c r="D16" s="216"/>
      <c r="E16" s="216" t="s">
        <v>39</v>
      </c>
      <c r="F16" s="216"/>
      <c r="G16" s="139" t="s">
        <v>18</v>
      </c>
      <c r="H16" s="139" t="s">
        <v>104</v>
      </c>
      <c r="I16" s="139"/>
      <c r="J16" s="140" t="s">
        <v>19</v>
      </c>
      <c r="K16" s="140" t="s">
        <v>20</v>
      </c>
      <c r="L16" s="139" t="s">
        <v>126</v>
      </c>
      <c r="M16" s="140" t="s">
        <v>143</v>
      </c>
      <c r="N16" s="139" t="s">
        <v>49</v>
      </c>
      <c r="O16" s="141" t="s">
        <v>50</v>
      </c>
      <c r="Q16" s="32" t="s">
        <v>72</v>
      </c>
      <c r="R16" s="32" t="s">
        <v>81</v>
      </c>
      <c r="S16" s="32" t="s">
        <v>94</v>
      </c>
      <c r="T16" s="32" t="s">
        <v>93</v>
      </c>
      <c r="U16" s="32" t="s">
        <v>73</v>
      </c>
      <c r="AA16" s="114"/>
      <c r="AI16" s="115" t="e">
        <f>IF(#REF!="","",#REF!)</f>
        <v>#REF!</v>
      </c>
    </row>
    <row r="17" spans="1:35" s="50" customFormat="1" ht="30" customHeight="1" thickBot="1" x14ac:dyDescent="0.35">
      <c r="A17" s="180">
        <v>2351</v>
      </c>
      <c r="B17" s="217" t="e">
        <f>IF(A17:A28="","",IF(N$4="sys/",VLOOKUP(A17:A28,#REF!,4,FALSE),VLOOKUP(A17:A28,#REF!,4,FALSE)))</f>
        <v>#REF!</v>
      </c>
      <c r="C17" s="218"/>
      <c r="D17" s="219"/>
      <c r="E17" s="220" t="e">
        <f>IF(A17:A28="","",IF(N$4="sys/",VLOOKUP(A17:A28,#REF!,7,FALSE),VLOOKUP(A17:A28,#REF!,7,FALSE)))</f>
        <v>#REF!</v>
      </c>
      <c r="F17" s="221"/>
      <c r="G17" s="117" t="e">
        <f>IF(A17:A28="","",IF(P$4="sys/",VLOOKUP(A17:A28,#REF!,9,FALSE),VLOOKUP(A17:A28,#REF!,9,FALSE)))</f>
        <v>#REF!</v>
      </c>
      <c r="H17" s="187" t="s">
        <v>105</v>
      </c>
      <c r="I17" s="117">
        <f>IF(H17="","",IF(H17="carton",1,2))</f>
        <v>1</v>
      </c>
      <c r="J17" s="142" t="e">
        <f>IF(A17:A28="","",IF(N$4="sys/",VLOOKUP(A17:A28,#REF!,8,FALSE),VLOOKUP(A17:A28,#REF!,8,FALSE)))</f>
        <v>#REF!</v>
      </c>
      <c r="K17" s="187">
        <v>5500</v>
      </c>
      <c r="L17" s="143">
        <f t="shared" ref="L17:L34" si="0">IF(A17=142,K17/10,IF(A17=8064,K17/20,K17/25))</f>
        <v>220</v>
      </c>
      <c r="M17" s="178">
        <f t="shared" ref="M17:M34" si="1">IF(A17="","",IF(H17="carton",(IF(A17=8064,(K17*21.5/20),(K17*26.5/25))),IF(H17="drum",IF(A17=142,(K17*13/10),K17*28/25))))</f>
        <v>5830</v>
      </c>
      <c r="N17" s="142" t="str">
        <f t="shared" ref="N17:N34" si="2">IF(Q17="","",FIXED(Q17-(O$37/K$35),2,1))</f>
        <v>85.55</v>
      </c>
      <c r="O17" s="144">
        <f>IF(K17="","",K17*N17)</f>
        <v>470525</v>
      </c>
      <c r="P17" s="49"/>
      <c r="Q17" s="181">
        <v>86.57</v>
      </c>
      <c r="R17" s="181"/>
      <c r="S17" s="73"/>
      <c r="T17" s="63"/>
      <c r="AA17" s="114"/>
      <c r="AI17" s="115" t="e">
        <f>IF(#REF!="","",#REF!)</f>
        <v>#REF!</v>
      </c>
    </row>
    <row r="18" spans="1:35" s="50" customFormat="1" ht="30" customHeight="1" thickBot="1" x14ac:dyDescent="0.35">
      <c r="A18" s="184">
        <v>2512</v>
      </c>
      <c r="B18" s="222" t="e">
        <f>IF(A18:A35="","",IF(N$4="sys/",VLOOKUP(A18:A35,#REF!,4,FALSE),VLOOKUP(A18:A35,#REF!,4,FALSE)))</f>
        <v>#REF!</v>
      </c>
      <c r="C18" s="223"/>
      <c r="D18" s="224"/>
      <c r="E18" s="225" t="e">
        <f>IF(A18:A35="","",IF(N$4="sys/",VLOOKUP(A18:A35,#REF!,7,FALSE),VLOOKUP(A18:A35,#REF!,7,FALSE)))</f>
        <v>#REF!</v>
      </c>
      <c r="F18" s="226"/>
      <c r="G18" s="118" t="e">
        <f>IF(A18:A35="","",IF(P$4="sys/",VLOOKUP(A18:A35,#REF!,9,FALSE),VLOOKUP(A18:A35,#REF!,9,FALSE)))</f>
        <v>#REF!</v>
      </c>
      <c r="H18" s="188" t="s">
        <v>105</v>
      </c>
      <c r="I18" s="118">
        <f t="shared" ref="I18:I34" si="3">IF(H18="","",IF(H18="carton",1,2))</f>
        <v>1</v>
      </c>
      <c r="J18" s="145" t="e">
        <f>IF(A18:A35="","",IF(N$4="sys/",VLOOKUP(A18:A35,#REF!,8,FALSE),VLOOKUP(A18:A35,#REF!,8,FALSE)))</f>
        <v>#REF!</v>
      </c>
      <c r="K18" s="188">
        <v>1000</v>
      </c>
      <c r="L18" s="143">
        <f t="shared" si="0"/>
        <v>40</v>
      </c>
      <c r="M18" s="145">
        <f t="shared" si="1"/>
        <v>1060</v>
      </c>
      <c r="N18" s="145" t="str">
        <f t="shared" si="2"/>
        <v>125.33</v>
      </c>
      <c r="O18" s="146">
        <f t="shared" ref="O18:O34" si="4">IF(K18="","",K18*N18)</f>
        <v>125330</v>
      </c>
      <c r="P18" s="49"/>
      <c r="Q18" s="181">
        <v>126.35</v>
      </c>
      <c r="R18" s="181"/>
      <c r="S18" s="73"/>
      <c r="T18" s="63"/>
      <c r="AA18" s="114"/>
      <c r="AI18" s="115" t="e">
        <f>IF(#REF!="","",#REF!)</f>
        <v>#REF!</v>
      </c>
    </row>
    <row r="19" spans="1:35" s="50" customFormat="1" ht="30" customHeight="1" thickBot="1" x14ac:dyDescent="0.35">
      <c r="A19" s="184"/>
      <c r="B19" s="222" t="str">
        <f>IF(A19:A36="","",IF(N$4="sys/",VLOOKUP(A19:A36,#REF!,4,FALSE),VLOOKUP(A19:A36,#REF!,4,FALSE)))</f>
        <v/>
      </c>
      <c r="C19" s="223"/>
      <c r="D19" s="224"/>
      <c r="E19" s="225" t="str">
        <f>IF(A19:A36="","",IF(N$4="sys/",VLOOKUP(A19:A36,#REF!,7,FALSE),VLOOKUP(A19:A36,#REF!,7,FALSE)))</f>
        <v/>
      </c>
      <c r="F19" s="226"/>
      <c r="G19" s="118" t="str">
        <f>IF(A19:A36="","",IF(P$4="sys/",VLOOKUP(A19:A36,#REF!,9,FALSE),VLOOKUP(A19:A36,#REF!,9,FALSE)))</f>
        <v/>
      </c>
      <c r="H19" s="188"/>
      <c r="I19" s="118" t="str">
        <f t="shared" si="3"/>
        <v/>
      </c>
      <c r="J19" s="145" t="str">
        <f>IF(A19:A36="","",IF(N$4="sys/",VLOOKUP(A19:A36,#REF!,8,FALSE),VLOOKUP(A19:A36,#REF!,8,FALSE)))</f>
        <v/>
      </c>
      <c r="K19" s="188"/>
      <c r="L19" s="143">
        <f t="shared" si="0"/>
        <v>0</v>
      </c>
      <c r="M19" s="145" t="str">
        <f t="shared" si="1"/>
        <v/>
      </c>
      <c r="N19" s="145" t="str">
        <f t="shared" si="2"/>
        <v/>
      </c>
      <c r="O19" s="146" t="str">
        <f t="shared" si="4"/>
        <v/>
      </c>
      <c r="P19" s="49"/>
      <c r="Q19" s="181"/>
      <c r="R19" s="181"/>
      <c r="S19" s="73"/>
      <c r="T19" s="63"/>
      <c r="AA19" s="114"/>
      <c r="AI19" s="115" t="e">
        <f>IF(#REF!="","",#REF!)</f>
        <v>#REF!</v>
      </c>
    </row>
    <row r="20" spans="1:35" s="50" customFormat="1" ht="30" customHeight="1" thickBot="1" x14ac:dyDescent="0.35">
      <c r="A20" s="184"/>
      <c r="B20" s="222" t="str">
        <f>IF(A20:A37="","",IF(N$4="sys/",VLOOKUP(A20:A37,#REF!,4,FALSE),VLOOKUP(A20:A37,#REF!,4,FALSE)))</f>
        <v/>
      </c>
      <c r="C20" s="223"/>
      <c r="D20" s="224"/>
      <c r="E20" s="225" t="str">
        <f>IF(A20:A37="","",IF(N$4="sys/",VLOOKUP(A20:A37,#REF!,7,FALSE),VLOOKUP(A20:A37,#REF!,7,FALSE)))</f>
        <v/>
      </c>
      <c r="F20" s="226"/>
      <c r="G20" s="118" t="str">
        <f>IF(A20:A37="","",IF(P$4="sys/",VLOOKUP(A20:A37,#REF!,9,FALSE),VLOOKUP(A20:A37,#REF!,9,FALSE)))</f>
        <v/>
      </c>
      <c r="H20" s="188"/>
      <c r="I20" s="118" t="str">
        <f t="shared" si="3"/>
        <v/>
      </c>
      <c r="J20" s="145" t="str">
        <f>IF(A20:A37="","",IF(N$4="sys/",VLOOKUP(A20:A37,#REF!,8,FALSE),VLOOKUP(A20:A37,#REF!,8,FALSE)))</f>
        <v/>
      </c>
      <c r="K20" s="188"/>
      <c r="L20" s="143">
        <f t="shared" si="0"/>
        <v>0</v>
      </c>
      <c r="M20" s="145" t="str">
        <f t="shared" si="1"/>
        <v/>
      </c>
      <c r="N20" s="145" t="str">
        <f t="shared" si="2"/>
        <v/>
      </c>
      <c r="O20" s="146" t="str">
        <f t="shared" si="4"/>
        <v/>
      </c>
      <c r="P20" s="49"/>
      <c r="Q20" s="181"/>
      <c r="R20" s="181"/>
      <c r="S20" s="73"/>
      <c r="T20" s="63"/>
      <c r="AA20" s="114"/>
      <c r="AI20" s="115" t="e">
        <f>IF(#REF!="","",#REF!)</f>
        <v>#REF!</v>
      </c>
    </row>
    <row r="21" spans="1:35" s="50" customFormat="1" ht="30" customHeight="1" thickBot="1" x14ac:dyDescent="0.35">
      <c r="A21" s="184"/>
      <c r="B21" s="222" t="str">
        <f>IF(A21:A38="","",IF(N$4="sys/",VLOOKUP(A21:A38,#REF!,4,FALSE),VLOOKUP(A21:A38,#REF!,4,FALSE)))</f>
        <v/>
      </c>
      <c r="C21" s="223"/>
      <c r="D21" s="224"/>
      <c r="E21" s="225" t="str">
        <f>IF(A21:A38="","",IF(N$4="sys/",VLOOKUP(A21:A38,#REF!,7,FALSE),VLOOKUP(A21:A38,#REF!,7,FALSE)))</f>
        <v/>
      </c>
      <c r="F21" s="226"/>
      <c r="G21" s="118" t="str">
        <f>IF(A21:A38="","",IF(P$4="sys/",VLOOKUP(A21:A38,#REF!,9,FALSE),VLOOKUP(A21:A38,#REF!,9,FALSE)))</f>
        <v/>
      </c>
      <c r="H21" s="188"/>
      <c r="I21" s="118" t="str">
        <f t="shared" si="3"/>
        <v/>
      </c>
      <c r="J21" s="145" t="str">
        <f>IF(A21:A38="","",IF(N$4="sys/",VLOOKUP(A21:A38,#REF!,8,FALSE),VLOOKUP(A21:A38,#REF!,8,FALSE)))</f>
        <v/>
      </c>
      <c r="K21" s="188"/>
      <c r="L21" s="143">
        <f t="shared" si="0"/>
        <v>0</v>
      </c>
      <c r="M21" s="145" t="str">
        <f t="shared" si="1"/>
        <v/>
      </c>
      <c r="N21" s="145" t="str">
        <f t="shared" si="2"/>
        <v/>
      </c>
      <c r="O21" s="146" t="str">
        <f t="shared" si="4"/>
        <v/>
      </c>
      <c r="P21" s="49"/>
      <c r="Q21" s="182"/>
      <c r="R21" s="182"/>
      <c r="S21" s="73"/>
      <c r="T21" s="63"/>
      <c r="AA21" s="114"/>
      <c r="AI21" s="115" t="e">
        <f>IF(#REF!="","",#REF!)</f>
        <v>#REF!</v>
      </c>
    </row>
    <row r="22" spans="1:35" s="50" customFormat="1" ht="30" customHeight="1" thickBot="1" x14ac:dyDescent="0.35">
      <c r="A22" s="184"/>
      <c r="B22" s="222" t="str">
        <f>IF(A22:A39="","",IF(N$4="sys/",VLOOKUP(A22:A39,#REF!,4,FALSE),VLOOKUP(A22:A39,#REF!,4,FALSE)))</f>
        <v/>
      </c>
      <c r="C22" s="223"/>
      <c r="D22" s="224"/>
      <c r="E22" s="225" t="str">
        <f>IF(A22:A39="","",IF(N$4="sys/",VLOOKUP(A22:A39,#REF!,7,FALSE),VLOOKUP(A22:A39,#REF!,7,FALSE)))</f>
        <v/>
      </c>
      <c r="F22" s="226"/>
      <c r="G22" s="118" t="str">
        <f>IF(A22:A39="","",IF(P$4="sys/",VLOOKUP(A22:A39,#REF!,9,FALSE),VLOOKUP(A22:A39,#REF!,9,FALSE)))</f>
        <v/>
      </c>
      <c r="H22" s="188"/>
      <c r="I22" s="118" t="str">
        <f t="shared" si="3"/>
        <v/>
      </c>
      <c r="J22" s="145" t="str">
        <f>IF(A22:A39="","",IF(N$4="sys/",VLOOKUP(A22:A39,#REF!,8,FALSE),VLOOKUP(A22:A39,#REF!,8,FALSE)))</f>
        <v/>
      </c>
      <c r="K22" s="188"/>
      <c r="L22" s="143">
        <f t="shared" si="0"/>
        <v>0</v>
      </c>
      <c r="M22" s="145" t="str">
        <f t="shared" si="1"/>
        <v/>
      </c>
      <c r="N22" s="145" t="str">
        <f t="shared" si="2"/>
        <v/>
      </c>
      <c r="O22" s="146" t="str">
        <f t="shared" si="4"/>
        <v/>
      </c>
      <c r="P22" s="49"/>
      <c r="Q22" s="189"/>
      <c r="R22" s="189"/>
      <c r="S22" s="73"/>
      <c r="T22" s="71"/>
      <c r="AA22" s="114"/>
      <c r="AI22" s="115" t="e">
        <f>IF(#REF!="","",#REF!)</f>
        <v>#REF!</v>
      </c>
    </row>
    <row r="23" spans="1:35" s="50" customFormat="1" ht="30" customHeight="1" thickBot="1" x14ac:dyDescent="0.35">
      <c r="A23" s="184"/>
      <c r="B23" s="222" t="str">
        <f>IF(A23:A40="","",IF(N$4="sys/",VLOOKUP(A23:A40,#REF!,4,FALSE),VLOOKUP(A23:A40,#REF!,4,FALSE)))</f>
        <v/>
      </c>
      <c r="C23" s="223"/>
      <c r="D23" s="224"/>
      <c r="E23" s="225" t="str">
        <f>IF(A23:A40="","",IF(N$4="sys/",VLOOKUP(A23:A40,#REF!,7,FALSE),VLOOKUP(A23:A40,#REF!,7,FALSE)))</f>
        <v/>
      </c>
      <c r="F23" s="226"/>
      <c r="G23" s="118" t="str">
        <f>IF(A23:A40="","",IF(P$4="sys/",VLOOKUP(A23:A40,#REF!,9,FALSE),VLOOKUP(A23:A40,#REF!,9,FALSE)))</f>
        <v/>
      </c>
      <c r="H23" s="188"/>
      <c r="I23" s="118" t="str">
        <f t="shared" si="3"/>
        <v/>
      </c>
      <c r="J23" s="145" t="str">
        <f>IF(A23:A40="","",IF(N$4="sys/",VLOOKUP(A23:A40,#REF!,8,FALSE),VLOOKUP(A23:A40,#REF!,8,FALSE)))</f>
        <v/>
      </c>
      <c r="K23" s="188"/>
      <c r="L23" s="143">
        <f t="shared" si="0"/>
        <v>0</v>
      </c>
      <c r="M23" s="145" t="str">
        <f t="shared" si="1"/>
        <v/>
      </c>
      <c r="N23" s="145" t="str">
        <f t="shared" si="2"/>
        <v/>
      </c>
      <c r="O23" s="146" t="str">
        <f t="shared" si="4"/>
        <v/>
      </c>
      <c r="P23" s="49"/>
      <c r="Q23" s="189"/>
      <c r="R23" s="189"/>
      <c r="S23" s="73"/>
      <c r="T23" s="71"/>
      <c r="AI23" s="115" t="e">
        <f>IF(#REF!="","",#REF!)</f>
        <v>#REF!</v>
      </c>
    </row>
    <row r="24" spans="1:35" s="50" customFormat="1" ht="30" customHeight="1" thickBot="1" x14ac:dyDescent="0.35">
      <c r="A24" s="184"/>
      <c r="B24" s="222" t="str">
        <f>IF(A24:A41="","",IF(N$4="sys/",VLOOKUP(A24:A41,#REF!,4,FALSE),VLOOKUP(A24:A41,#REF!,4,FALSE)))</f>
        <v/>
      </c>
      <c r="C24" s="223"/>
      <c r="D24" s="224"/>
      <c r="E24" s="225" t="str">
        <f>IF(A24:A41="","",IF(N$4="sys/",VLOOKUP(A24:A41,#REF!,7,FALSE),VLOOKUP(A24:A41,#REF!,7,FALSE)))</f>
        <v/>
      </c>
      <c r="F24" s="226"/>
      <c r="G24" s="118" t="str">
        <f>IF(A24:A41="","",IF(P$4="sys/",VLOOKUP(A24:A41,#REF!,9,FALSE),VLOOKUP(A24:A41,#REF!,9,FALSE)))</f>
        <v/>
      </c>
      <c r="H24" s="188"/>
      <c r="I24" s="118" t="str">
        <f t="shared" si="3"/>
        <v/>
      </c>
      <c r="J24" s="145" t="str">
        <f>IF(A24:A41="","",IF(N$4="sys/",VLOOKUP(A24:A41,#REF!,8,FALSE),VLOOKUP(A24:A41,#REF!,8,FALSE)))</f>
        <v/>
      </c>
      <c r="K24" s="188"/>
      <c r="L24" s="143">
        <f t="shared" si="0"/>
        <v>0</v>
      </c>
      <c r="M24" s="145" t="str">
        <f t="shared" si="1"/>
        <v/>
      </c>
      <c r="N24" s="145" t="str">
        <f t="shared" si="2"/>
        <v/>
      </c>
      <c r="O24" s="146" t="str">
        <f t="shared" si="4"/>
        <v/>
      </c>
      <c r="P24" s="49"/>
      <c r="Q24" s="189"/>
      <c r="R24" s="189"/>
      <c r="S24" s="73"/>
      <c r="T24" s="71"/>
      <c r="AI24" s="115" t="e">
        <f>IF(#REF!="","",#REF!)</f>
        <v>#REF!</v>
      </c>
    </row>
    <row r="25" spans="1:35" s="50" customFormat="1" ht="30" customHeight="1" thickBot="1" x14ac:dyDescent="0.35">
      <c r="A25" s="184"/>
      <c r="B25" s="222" t="str">
        <f>IF(A25:A42="","",IF(N$4="sys/",VLOOKUP(A25:A42,#REF!,4,FALSE),VLOOKUP(A25:A42,#REF!,4,FALSE)))</f>
        <v/>
      </c>
      <c r="C25" s="223"/>
      <c r="D25" s="224"/>
      <c r="E25" s="225" t="str">
        <f>IF(A25:A42="","",IF(N$4="sys/",VLOOKUP(A25:A42,#REF!,7,FALSE),VLOOKUP(A25:A42,#REF!,7,FALSE)))</f>
        <v/>
      </c>
      <c r="F25" s="226"/>
      <c r="G25" s="118" t="str">
        <f>IF(A25:A42="","",IF(P$4="sys/",VLOOKUP(A25:A42,#REF!,9,FALSE),VLOOKUP(A25:A42,#REF!,9,FALSE)))</f>
        <v/>
      </c>
      <c r="H25" s="188"/>
      <c r="I25" s="118" t="str">
        <f t="shared" si="3"/>
        <v/>
      </c>
      <c r="J25" s="145" t="str">
        <f>IF(A25:A42="","",IF(N$4="sys/",VLOOKUP(A25:A42,#REF!,8,FALSE),VLOOKUP(A25:A42,#REF!,8,FALSE)))</f>
        <v/>
      </c>
      <c r="K25" s="188"/>
      <c r="L25" s="143">
        <f t="shared" si="0"/>
        <v>0</v>
      </c>
      <c r="M25" s="145" t="str">
        <f t="shared" si="1"/>
        <v/>
      </c>
      <c r="N25" s="145" t="str">
        <f t="shared" si="2"/>
        <v/>
      </c>
      <c r="O25" s="146" t="str">
        <f t="shared" si="4"/>
        <v/>
      </c>
      <c r="P25" s="49"/>
      <c r="Q25" s="189"/>
      <c r="R25" s="189"/>
      <c r="S25" s="73"/>
      <c r="U25" s="50">
        <f t="shared" ref="U25:U30" si="5">Q25*K25*T25</f>
        <v>0</v>
      </c>
      <c r="AI25" s="115" t="e">
        <f>IF(#REF!="","",#REF!)</f>
        <v>#REF!</v>
      </c>
    </row>
    <row r="26" spans="1:35" s="50" customFormat="1" ht="30.75" customHeight="1" thickBot="1" x14ac:dyDescent="0.35">
      <c r="A26" s="184"/>
      <c r="B26" s="222" t="str">
        <f>IF(A26:A43="","",IF(N$4="sys/",VLOOKUP(A26:A43,#REF!,4,FALSE),VLOOKUP(A26:A43,#REF!,4,FALSE)))</f>
        <v/>
      </c>
      <c r="C26" s="223"/>
      <c r="D26" s="224"/>
      <c r="E26" s="225" t="str">
        <f>IF(A26:A43="","",IF(N$4="sys/",VLOOKUP(A26:A43,#REF!,7,FALSE),VLOOKUP(A26:A43,#REF!,7,FALSE)))</f>
        <v/>
      </c>
      <c r="F26" s="226"/>
      <c r="G26" s="118" t="str">
        <f>IF(A26:A43="","",IF(P$4="sys/",VLOOKUP(A26:A43,#REF!,9,FALSE),VLOOKUP(A26:A43,#REF!,9,FALSE)))</f>
        <v/>
      </c>
      <c r="H26" s="188"/>
      <c r="I26" s="118" t="str">
        <f t="shared" si="3"/>
        <v/>
      </c>
      <c r="J26" s="145" t="str">
        <f>IF(A26:A43="","",IF(N$4="sys/",VLOOKUP(A26:A43,#REF!,8,FALSE),VLOOKUP(A26:A43,#REF!,8,FALSE)))</f>
        <v/>
      </c>
      <c r="K26" s="188"/>
      <c r="L26" s="143">
        <f t="shared" si="0"/>
        <v>0</v>
      </c>
      <c r="M26" s="145" t="str">
        <f t="shared" si="1"/>
        <v/>
      </c>
      <c r="N26" s="145" t="str">
        <f t="shared" si="2"/>
        <v/>
      </c>
      <c r="O26" s="146" t="str">
        <f t="shared" si="4"/>
        <v/>
      </c>
      <c r="P26" s="49"/>
      <c r="Q26" s="189"/>
      <c r="R26" s="189"/>
      <c r="S26" s="73"/>
      <c r="U26" s="50">
        <f t="shared" si="5"/>
        <v>0</v>
      </c>
      <c r="AI26" s="115" t="e">
        <f>IF(#REF!="","",#REF!)</f>
        <v>#REF!</v>
      </c>
    </row>
    <row r="27" spans="1:35" s="50" customFormat="1" ht="30" customHeight="1" thickBot="1" x14ac:dyDescent="0.35">
      <c r="A27" s="184"/>
      <c r="B27" s="222" t="str">
        <f>IF(A27:A44="","",IF(N$4="sys/",VLOOKUP(A27:A44,#REF!,4,FALSE),VLOOKUP(A27:A44,#REF!,4,FALSE)))</f>
        <v/>
      </c>
      <c r="C27" s="223"/>
      <c r="D27" s="224"/>
      <c r="E27" s="225" t="str">
        <f>IF(A27:A44="","",IF(N$4="sys/",VLOOKUP(A27:A44,#REF!,7,FALSE),VLOOKUP(A27:A44,#REF!,7,FALSE)))</f>
        <v/>
      </c>
      <c r="F27" s="226"/>
      <c r="G27" s="118" t="str">
        <f>IF(A27:A44="","",IF(P$4="sys/",VLOOKUP(A27:A44,#REF!,9,FALSE),VLOOKUP(A27:A44,#REF!,9,FALSE)))</f>
        <v/>
      </c>
      <c r="H27" s="188"/>
      <c r="I27" s="118" t="str">
        <f t="shared" si="3"/>
        <v/>
      </c>
      <c r="J27" s="145" t="str">
        <f>IF(A27:A44="","",IF(N$4="sys/",VLOOKUP(A27:A44,#REF!,8,FALSE),VLOOKUP(A27:A44,#REF!,8,FALSE)))</f>
        <v/>
      </c>
      <c r="K27" s="188"/>
      <c r="L27" s="143">
        <f t="shared" si="0"/>
        <v>0</v>
      </c>
      <c r="M27" s="145" t="str">
        <f t="shared" si="1"/>
        <v/>
      </c>
      <c r="N27" s="145" t="str">
        <f t="shared" si="2"/>
        <v/>
      </c>
      <c r="O27" s="146" t="str">
        <f t="shared" si="4"/>
        <v/>
      </c>
      <c r="P27" s="49"/>
      <c r="Q27" s="189"/>
      <c r="R27" s="189"/>
      <c r="S27" s="73"/>
      <c r="U27" s="50">
        <f t="shared" si="5"/>
        <v>0</v>
      </c>
      <c r="AI27" s="115" t="e">
        <f>IF(#REF!="","",#REF!)</f>
        <v>#REF!</v>
      </c>
    </row>
    <row r="28" spans="1:35" s="50" customFormat="1" ht="30" customHeight="1" thickBot="1" x14ac:dyDescent="0.35">
      <c r="A28" s="184"/>
      <c r="B28" s="222" t="str">
        <f>IF(A28:A45="","",IF(N$4="sys/",VLOOKUP(A28:A45,#REF!,4,FALSE),VLOOKUP(A28:A45,#REF!,4,FALSE)))</f>
        <v/>
      </c>
      <c r="C28" s="223"/>
      <c r="D28" s="224"/>
      <c r="E28" s="225" t="str">
        <f>IF(A28:A45="","",IF(N$4="sys/",VLOOKUP(A28:A45,#REF!,7,FALSE),VLOOKUP(A28:A45,#REF!,7,FALSE)))</f>
        <v/>
      </c>
      <c r="F28" s="226"/>
      <c r="G28" s="118" t="str">
        <f>IF(A28:A45="","",IF(P$4="sys/",VLOOKUP(A28:A45,#REF!,9,FALSE),VLOOKUP(A28:A45,#REF!,9,FALSE)))</f>
        <v/>
      </c>
      <c r="H28" s="188"/>
      <c r="I28" s="118" t="str">
        <f t="shared" si="3"/>
        <v/>
      </c>
      <c r="J28" s="145" t="str">
        <f>IF(A28:A45="","",IF(N$4="sys/",VLOOKUP(A28:A45,#REF!,8,FALSE),VLOOKUP(A28:A45,#REF!,8,FALSE)))</f>
        <v/>
      </c>
      <c r="K28" s="188"/>
      <c r="L28" s="143">
        <f t="shared" si="0"/>
        <v>0</v>
      </c>
      <c r="M28" s="145" t="str">
        <f t="shared" si="1"/>
        <v/>
      </c>
      <c r="N28" s="145" t="str">
        <f t="shared" si="2"/>
        <v/>
      </c>
      <c r="O28" s="146" t="str">
        <f t="shared" si="4"/>
        <v/>
      </c>
      <c r="P28" s="49"/>
      <c r="Q28" s="190"/>
      <c r="R28" s="190"/>
      <c r="S28" s="73"/>
      <c r="T28" s="63"/>
      <c r="U28" s="50">
        <f t="shared" si="5"/>
        <v>0</v>
      </c>
    </row>
    <row r="29" spans="1:35" s="50" customFormat="1" ht="30" customHeight="1" thickBot="1" x14ac:dyDescent="0.35">
      <c r="A29" s="184"/>
      <c r="B29" s="222" t="str">
        <f>IF(A29:A46="","",IF(N$4="sys/",VLOOKUP(A29:A46,#REF!,4,FALSE),VLOOKUP(A29:A46,#REF!,4,FALSE)))</f>
        <v/>
      </c>
      <c r="C29" s="223"/>
      <c r="D29" s="224"/>
      <c r="E29" s="225" t="str">
        <f>IF(A29:A46="","",IF(N$4="sys/",VLOOKUP(A29:A46,#REF!,7,FALSE),VLOOKUP(A29:A46,#REF!,7,FALSE)))</f>
        <v/>
      </c>
      <c r="F29" s="226"/>
      <c r="G29" s="118" t="str">
        <f>IF(A29:A46="","",IF(P$4="sys/",VLOOKUP(A29:A46,#REF!,9,FALSE),VLOOKUP(A29:A46,#REF!,9,FALSE)))</f>
        <v/>
      </c>
      <c r="H29" s="188"/>
      <c r="I29" s="118" t="str">
        <f t="shared" si="3"/>
        <v/>
      </c>
      <c r="J29" s="145" t="str">
        <f>IF(A29:A46="","",IF(N$4="sys/",VLOOKUP(A29:A46,#REF!,8,FALSE),VLOOKUP(A29:A46,#REF!,8,FALSE)))</f>
        <v/>
      </c>
      <c r="K29" s="188"/>
      <c r="L29" s="143">
        <f t="shared" si="0"/>
        <v>0</v>
      </c>
      <c r="M29" s="145" t="str">
        <f t="shared" si="1"/>
        <v/>
      </c>
      <c r="N29" s="145" t="str">
        <f t="shared" si="2"/>
        <v/>
      </c>
      <c r="O29" s="146" t="str">
        <f t="shared" si="4"/>
        <v/>
      </c>
      <c r="P29" s="49"/>
      <c r="Q29" s="190"/>
      <c r="R29" s="190"/>
      <c r="S29" s="73"/>
      <c r="T29" s="63"/>
      <c r="U29" s="50">
        <f t="shared" si="5"/>
        <v>0</v>
      </c>
    </row>
    <row r="30" spans="1:35" s="50" customFormat="1" ht="30" customHeight="1" thickBot="1" x14ac:dyDescent="0.35">
      <c r="A30" s="184"/>
      <c r="B30" s="222" t="str">
        <f>IF(A30:A47="","",IF(N$4="sys/",VLOOKUP(A30:A47,#REF!,4,FALSE),VLOOKUP(A30:A47,#REF!,4,FALSE)))</f>
        <v/>
      </c>
      <c r="C30" s="223"/>
      <c r="D30" s="224"/>
      <c r="E30" s="225" t="str">
        <f>IF(A30:A47="","",IF(N$4="sys/",VLOOKUP(A30:A47,#REF!,7,FALSE),VLOOKUP(A30:A47,#REF!,7,FALSE)))</f>
        <v/>
      </c>
      <c r="F30" s="226"/>
      <c r="G30" s="118" t="str">
        <f>IF(A30:A47="","",IF(P$4="sys/",VLOOKUP(A30:A47,#REF!,9,FALSE),VLOOKUP(A30:A47,#REF!,9,FALSE)))</f>
        <v/>
      </c>
      <c r="H30" s="188"/>
      <c r="I30" s="118" t="str">
        <f t="shared" si="3"/>
        <v/>
      </c>
      <c r="J30" s="145" t="str">
        <f>IF(A30:A47="","",IF(N$4="sys/",VLOOKUP(A30:A47,#REF!,8,FALSE),VLOOKUP(A30:A47,#REF!,8,FALSE)))</f>
        <v/>
      </c>
      <c r="K30" s="188"/>
      <c r="L30" s="143">
        <f t="shared" si="0"/>
        <v>0</v>
      </c>
      <c r="M30" s="145" t="str">
        <f t="shared" si="1"/>
        <v/>
      </c>
      <c r="N30" s="145" t="str">
        <f t="shared" si="2"/>
        <v/>
      </c>
      <c r="O30" s="146" t="str">
        <f t="shared" si="4"/>
        <v/>
      </c>
      <c r="P30" s="49"/>
      <c r="Q30" s="190"/>
      <c r="R30" s="190"/>
      <c r="S30" s="73"/>
      <c r="T30" s="63"/>
      <c r="U30" s="50">
        <f t="shared" si="5"/>
        <v>0</v>
      </c>
    </row>
    <row r="31" spans="1:35" s="50" customFormat="1" ht="30" customHeight="1" thickBot="1" x14ac:dyDescent="0.35">
      <c r="A31" s="184"/>
      <c r="B31" s="222" t="str">
        <f>IF(A31:A48="","",IF(N$4="sys/",VLOOKUP(A31:A48,#REF!,4,FALSE),VLOOKUP(A31:A48,#REF!,4,FALSE)))</f>
        <v/>
      </c>
      <c r="C31" s="223"/>
      <c r="D31" s="224"/>
      <c r="E31" s="225" t="str">
        <f>IF(A31:A48="","",IF(N$4="sys/",VLOOKUP(A31:A48,#REF!,7,FALSE),VLOOKUP(A31:A48,#REF!,7,FALSE)))</f>
        <v/>
      </c>
      <c r="F31" s="226"/>
      <c r="G31" s="118" t="str">
        <f>IF(A31:A48="","",IF(P$4="sys/",VLOOKUP(A31:A48,#REF!,9,FALSE),VLOOKUP(A31:A48,#REF!,9,FALSE)))</f>
        <v/>
      </c>
      <c r="H31" s="188"/>
      <c r="I31" s="118" t="str">
        <f t="shared" si="3"/>
        <v/>
      </c>
      <c r="J31" s="145" t="str">
        <f>IF(A31:A48="","",IF(N$4="sys/",VLOOKUP(A31:A48,#REF!,8,FALSE),VLOOKUP(A31:A48,#REF!,8,FALSE)))</f>
        <v/>
      </c>
      <c r="K31" s="188"/>
      <c r="L31" s="143">
        <f t="shared" si="0"/>
        <v>0</v>
      </c>
      <c r="M31" s="145" t="str">
        <f t="shared" si="1"/>
        <v/>
      </c>
      <c r="N31" s="145" t="str">
        <f t="shared" si="2"/>
        <v/>
      </c>
      <c r="O31" s="146" t="str">
        <f t="shared" si="4"/>
        <v/>
      </c>
      <c r="P31" s="49"/>
      <c r="Q31" s="190"/>
      <c r="R31" s="116"/>
      <c r="T31" s="63"/>
      <c r="U31" s="50">
        <f>SUM(U17:U30)</f>
        <v>0</v>
      </c>
    </row>
    <row r="32" spans="1:35" s="50" customFormat="1" ht="30" customHeight="1" thickBot="1" x14ac:dyDescent="0.35">
      <c r="A32" s="184"/>
      <c r="B32" s="222" t="str">
        <f>IF(A32:A49="","",IF(N$4="sys/",VLOOKUP(A32:A49,#REF!,4,FALSE),VLOOKUP(A32:A49,#REF!,4,FALSE)))</f>
        <v/>
      </c>
      <c r="C32" s="223"/>
      <c r="D32" s="224"/>
      <c r="E32" s="225" t="str">
        <f>IF(A32:A49="","",IF(N$4="sys/",VLOOKUP(A32:A49,#REF!,7,FALSE),VLOOKUP(A32:A49,#REF!,7,FALSE)))</f>
        <v/>
      </c>
      <c r="F32" s="226"/>
      <c r="G32" s="118" t="str">
        <f>IF(A32:A49="","",IF(P$4="sys/",VLOOKUP(A32:A49,#REF!,9,FALSE),VLOOKUP(A32:A49,#REF!,9,FALSE)))</f>
        <v/>
      </c>
      <c r="H32" s="188"/>
      <c r="I32" s="118" t="str">
        <f t="shared" si="3"/>
        <v/>
      </c>
      <c r="J32" s="145" t="str">
        <f>IF(A32:A49="","",IF(N$4="sys/",VLOOKUP(A32:A49,#REF!,8,FALSE),VLOOKUP(A32:A49,#REF!,8,FALSE)))</f>
        <v/>
      </c>
      <c r="K32" s="188"/>
      <c r="L32" s="143">
        <f t="shared" si="0"/>
        <v>0</v>
      </c>
      <c r="M32" s="145" t="str">
        <f t="shared" si="1"/>
        <v/>
      </c>
      <c r="N32" s="145" t="str">
        <f t="shared" si="2"/>
        <v/>
      </c>
      <c r="O32" s="146" t="str">
        <f t="shared" si="4"/>
        <v/>
      </c>
      <c r="P32" s="49"/>
      <c r="Q32" s="190"/>
      <c r="R32" s="116"/>
      <c r="T32" s="63"/>
      <c r="U32" s="191">
        <f>SUM(U17:U30)/O44</f>
        <v>0</v>
      </c>
    </row>
    <row r="33" spans="1:35" s="50" customFormat="1" ht="30" customHeight="1" thickBot="1" x14ac:dyDescent="0.35">
      <c r="A33" s="184"/>
      <c r="B33" s="222" t="str">
        <f>IF(A33:A50="","",IF(N$4="sys/",VLOOKUP(A33:A50,#REF!,4,FALSE),VLOOKUP(A33:A50,#REF!,4,FALSE)))</f>
        <v/>
      </c>
      <c r="C33" s="223"/>
      <c r="D33" s="224"/>
      <c r="E33" s="225" t="str">
        <f>IF(A33:A50="","",IF(N$4="sys/",VLOOKUP(A33:A50,#REF!,7,FALSE),VLOOKUP(A33:A50,#REF!,7,FALSE)))</f>
        <v/>
      </c>
      <c r="F33" s="226"/>
      <c r="G33" s="118" t="str">
        <f>IF(A33:A50="","",IF(P$4="sys/",VLOOKUP(A33:A50,#REF!,9,FALSE),VLOOKUP(A33:A50,#REF!,9,FALSE)))</f>
        <v/>
      </c>
      <c r="H33" s="188"/>
      <c r="I33" s="118" t="str">
        <f t="shared" si="3"/>
        <v/>
      </c>
      <c r="J33" s="145" t="str">
        <f>IF(A33:A50="","",IF(N$4="sys/",VLOOKUP(A33:A50,#REF!,8,FALSE),VLOOKUP(A33:A50,#REF!,8,FALSE)))</f>
        <v/>
      </c>
      <c r="K33" s="188"/>
      <c r="L33" s="143">
        <f t="shared" si="0"/>
        <v>0</v>
      </c>
      <c r="M33" s="145" t="str">
        <f t="shared" si="1"/>
        <v/>
      </c>
      <c r="N33" s="145" t="str">
        <f t="shared" si="2"/>
        <v/>
      </c>
      <c r="O33" s="146" t="str">
        <f t="shared" si="4"/>
        <v/>
      </c>
      <c r="P33" s="49"/>
      <c r="Q33" s="190"/>
      <c r="R33" s="116"/>
      <c r="T33" s="63"/>
      <c r="AI33"/>
    </row>
    <row r="34" spans="1:35" s="50" customFormat="1" ht="30" customHeight="1" thickBot="1" x14ac:dyDescent="0.35">
      <c r="A34" s="185"/>
      <c r="B34" s="222" t="str">
        <f>IF(A34:A51="","",IF(N$4="sys/",VLOOKUP(A34:A51,#REF!,4,FALSE),VLOOKUP(A34:A51,#REF!,4,FALSE)))</f>
        <v/>
      </c>
      <c r="C34" s="223"/>
      <c r="D34" s="224"/>
      <c r="E34" s="225" t="str">
        <f>IF(A34:A51="","",IF(N$4="sys/",VLOOKUP(A34:A51,#REF!,7,FALSE),VLOOKUP(A34:A51,#REF!,7,FALSE)))</f>
        <v/>
      </c>
      <c r="F34" s="226"/>
      <c r="G34" s="118" t="str">
        <f>IF(A34:A51="","",IF(P$4="sys/",VLOOKUP(A34:A51,#REF!,9,FALSE),VLOOKUP(A34:A51,#REF!,9,FALSE)))</f>
        <v/>
      </c>
      <c r="H34" s="188"/>
      <c r="I34" s="118" t="str">
        <f t="shared" si="3"/>
        <v/>
      </c>
      <c r="J34" s="145" t="str">
        <f>IF(A34:A51="","",IF(N$4="sys/",VLOOKUP(A34:A51,#REF!,8,FALSE),VLOOKUP(A34:A51,#REF!,8,FALSE)))</f>
        <v/>
      </c>
      <c r="K34" s="188"/>
      <c r="L34" s="143">
        <f t="shared" si="0"/>
        <v>0</v>
      </c>
      <c r="M34" s="145" t="str">
        <f t="shared" si="1"/>
        <v/>
      </c>
      <c r="N34" s="145" t="str">
        <f t="shared" si="2"/>
        <v/>
      </c>
      <c r="O34" s="146" t="str">
        <f t="shared" si="4"/>
        <v/>
      </c>
      <c r="P34" s="49"/>
      <c r="Q34" s="190"/>
      <c r="R34" s="116"/>
      <c r="T34" s="63"/>
      <c r="AI34"/>
    </row>
    <row r="35" spans="1:35" ht="17.25" thickBot="1" x14ac:dyDescent="0.35">
      <c r="A35" s="147" t="s">
        <v>5</v>
      </c>
      <c r="B35" s="148"/>
      <c r="C35" s="148"/>
      <c r="D35" s="148"/>
      <c r="E35" s="148"/>
      <c r="F35" s="148"/>
      <c r="G35" s="148"/>
      <c r="H35" s="148"/>
      <c r="I35" s="148">
        <f>AVERAGE(I17:I34)</f>
        <v>1</v>
      </c>
      <c r="J35" s="148"/>
      <c r="K35" s="149">
        <f>SUM(K17:K34)</f>
        <v>6500</v>
      </c>
      <c r="L35" s="149"/>
      <c r="M35" s="149">
        <f>SUM(M17:M34)</f>
        <v>6890</v>
      </c>
      <c r="N35" s="149"/>
      <c r="O35" s="150">
        <f>SUM(O17:O34)</f>
        <v>595855</v>
      </c>
      <c r="Q35" t="s">
        <v>125</v>
      </c>
      <c r="R35" s="76"/>
      <c r="S35" s="76"/>
      <c r="T35" s="76"/>
    </row>
    <row r="36" spans="1:35" ht="21" x14ac:dyDescent="0.3">
      <c r="A36" s="227" t="s">
        <v>37</v>
      </c>
      <c r="B36" s="228"/>
      <c r="C36" s="229" t="s">
        <v>40</v>
      </c>
      <c r="D36" s="229"/>
      <c r="E36" s="152"/>
      <c r="F36" s="152"/>
      <c r="G36" s="152"/>
      <c r="H36" s="152"/>
      <c r="I36" s="152"/>
      <c r="J36" s="152"/>
      <c r="K36" s="152"/>
      <c r="L36" s="152"/>
      <c r="M36" s="230" t="s">
        <v>21</v>
      </c>
      <c r="N36" s="231"/>
      <c r="O36" s="153">
        <f>O35</f>
        <v>595855</v>
      </c>
      <c r="T36" s="46"/>
    </row>
    <row r="37" spans="1:35" ht="18.75" x14ac:dyDescent="0.3">
      <c r="A37" s="227" t="s">
        <v>38</v>
      </c>
      <c r="B37" s="228"/>
      <c r="C37" s="232" t="s">
        <v>145</v>
      </c>
      <c r="D37" s="232"/>
      <c r="E37" s="152"/>
      <c r="F37" s="152"/>
      <c r="G37" s="152"/>
      <c r="H37" s="152"/>
      <c r="I37" s="152"/>
      <c r="J37" s="152"/>
      <c r="K37" s="152"/>
      <c r="L37" s="152"/>
      <c r="M37" s="233" t="s">
        <v>22</v>
      </c>
      <c r="N37" s="234"/>
      <c r="O37" s="154">
        <v>6600</v>
      </c>
      <c r="T37" s="47"/>
    </row>
    <row r="38" spans="1:35" ht="16.5" customHeight="1" x14ac:dyDescent="0.3">
      <c r="A38" s="132" t="s">
        <v>46</v>
      </c>
      <c r="B38" s="152"/>
      <c r="C38" s="155" t="s">
        <v>28</v>
      </c>
      <c r="D38" s="152"/>
      <c r="E38" s="152"/>
      <c r="F38" s="152"/>
      <c r="G38" s="152"/>
      <c r="H38" s="152"/>
      <c r="I38" s="152"/>
      <c r="J38" s="152"/>
      <c r="K38" s="152"/>
      <c r="L38" s="152"/>
      <c r="M38" s="239" t="s">
        <v>26</v>
      </c>
      <c r="N38" s="240"/>
      <c r="O38" s="156">
        <v>0</v>
      </c>
      <c r="U38" s="69"/>
    </row>
    <row r="39" spans="1:35" ht="16.5" customHeight="1" x14ac:dyDescent="0.3">
      <c r="A39" s="157" t="str">
        <f>IF(B1=X1,Z3,AA3)</f>
        <v>PAYEE:SINOCHEM TIANJIN CO., LTD</v>
      </c>
      <c r="B39" s="152"/>
      <c r="C39" s="152"/>
      <c r="D39" s="152"/>
      <c r="E39" s="152"/>
      <c r="F39" s="152"/>
      <c r="G39" s="152"/>
      <c r="H39" s="152"/>
      <c r="I39" s="152"/>
      <c r="J39" s="152"/>
      <c r="K39" s="152"/>
      <c r="L39" s="152"/>
      <c r="M39" s="239" t="s">
        <v>27</v>
      </c>
      <c r="N39" s="240"/>
      <c r="O39" s="156">
        <v>0</v>
      </c>
    </row>
    <row r="40" spans="1:35" ht="16.5" customHeight="1" x14ac:dyDescent="0.3">
      <c r="A40" s="158" t="s">
        <v>13</v>
      </c>
      <c r="B40" s="152"/>
      <c r="C40" s="152"/>
      <c r="D40" s="152"/>
      <c r="E40" s="152"/>
      <c r="F40" s="152"/>
      <c r="G40" s="152"/>
      <c r="H40" s="152"/>
      <c r="I40" s="152"/>
      <c r="J40" s="152"/>
      <c r="K40" s="152"/>
      <c r="L40" s="152"/>
      <c r="M40" s="152"/>
      <c r="N40" s="152"/>
      <c r="O40" s="156">
        <v>0</v>
      </c>
    </row>
    <row r="41" spans="1:35" ht="16.5" customHeight="1" x14ac:dyDescent="0.3">
      <c r="A41" s="158" t="s">
        <v>14</v>
      </c>
      <c r="B41" s="152"/>
      <c r="C41" s="152"/>
      <c r="D41" s="152"/>
      <c r="E41" s="152"/>
      <c r="F41" s="152"/>
      <c r="G41" s="152"/>
      <c r="H41" s="152"/>
      <c r="I41" s="152"/>
      <c r="J41" s="152"/>
      <c r="K41" s="152"/>
      <c r="L41" s="152"/>
      <c r="M41" s="152"/>
      <c r="N41" s="152"/>
      <c r="O41" s="156">
        <v>0</v>
      </c>
    </row>
    <row r="42" spans="1:35" ht="16.5" customHeight="1" x14ac:dyDescent="0.3">
      <c r="A42" s="158" t="s">
        <v>15</v>
      </c>
      <c r="B42" s="152"/>
      <c r="C42" s="152"/>
      <c r="D42" s="152"/>
      <c r="E42" s="152"/>
      <c r="F42" s="152"/>
      <c r="G42" s="152"/>
      <c r="H42" s="152"/>
      <c r="I42" s="152"/>
      <c r="J42" s="152"/>
      <c r="K42" s="152"/>
      <c r="L42" s="152"/>
      <c r="M42" s="152"/>
      <c r="N42" s="152"/>
      <c r="O42" s="156">
        <v>0</v>
      </c>
    </row>
    <row r="43" spans="1:35" ht="16.5" customHeight="1" x14ac:dyDescent="0.3">
      <c r="A43" s="158" t="s">
        <v>16</v>
      </c>
      <c r="B43" s="152"/>
      <c r="C43" s="152"/>
      <c r="D43" s="152"/>
      <c r="E43" s="152"/>
      <c r="F43" s="152"/>
      <c r="G43" s="152"/>
      <c r="H43" s="152"/>
      <c r="I43" s="152"/>
      <c r="J43" s="152"/>
      <c r="K43" s="152"/>
      <c r="L43" s="152"/>
      <c r="M43" s="152"/>
      <c r="N43" s="152"/>
      <c r="O43" s="156">
        <v>0</v>
      </c>
      <c r="Q43" s="72">
        <v>426655.25</v>
      </c>
    </row>
    <row r="44" spans="1:35" ht="21.75" thickBot="1" x14ac:dyDescent="0.4">
      <c r="A44" s="158" t="str">
        <f>IF(B1=X1,Z2,AA2)</f>
        <v>ACCOUNT NUMBER:10002000096220000016</v>
      </c>
      <c r="B44" s="133"/>
      <c r="C44" s="133"/>
      <c r="D44" s="133"/>
      <c r="E44" s="133"/>
      <c r="F44" s="133"/>
      <c r="G44" s="133"/>
      <c r="H44" s="133"/>
      <c r="I44" s="133"/>
      <c r="J44" s="133"/>
      <c r="K44" s="133"/>
      <c r="L44" s="133"/>
      <c r="M44" s="241" t="s">
        <v>25</v>
      </c>
      <c r="N44" s="242"/>
      <c r="O44" s="159">
        <f>SUM(O36+O37)</f>
        <v>602455</v>
      </c>
    </row>
    <row r="45" spans="1:35" ht="18.75" thickBot="1" x14ac:dyDescent="0.35">
      <c r="A45" s="243" t="s">
        <v>83</v>
      </c>
      <c r="B45" s="244"/>
      <c r="C45" s="245" t="e">
        <f ca="1">SpellNumber(O44)</f>
        <v>#NAME?</v>
      </c>
      <c r="D45" s="245"/>
      <c r="E45" s="245"/>
      <c r="F45" s="245"/>
      <c r="G45" s="245"/>
      <c r="H45" s="245"/>
      <c r="I45" s="245"/>
      <c r="J45" s="245"/>
      <c r="K45" s="246"/>
      <c r="L45" s="160"/>
      <c r="M45" s="133"/>
      <c r="N45" s="133"/>
      <c r="O45" s="161" t="s">
        <v>51</v>
      </c>
    </row>
    <row r="46" spans="1:35" x14ac:dyDescent="0.3">
      <c r="A46" s="247"/>
      <c r="B46" s="248"/>
      <c r="C46" s="248"/>
      <c r="D46" s="248"/>
      <c r="E46" s="248"/>
      <c r="F46" s="248"/>
      <c r="G46" s="248"/>
      <c r="H46" s="248"/>
      <c r="I46" s="248"/>
      <c r="J46" s="248"/>
      <c r="K46" s="248"/>
      <c r="L46" s="162"/>
      <c r="M46" s="133"/>
      <c r="N46" s="133"/>
      <c r="O46" s="163"/>
    </row>
    <row r="47" spans="1:35" ht="16.5" x14ac:dyDescent="0.3">
      <c r="A47" s="164" t="s">
        <v>8</v>
      </c>
      <c r="B47" s="165"/>
      <c r="C47" s="165"/>
      <c r="D47" s="165"/>
      <c r="E47" s="165"/>
      <c r="F47" s="165"/>
      <c r="G47" s="165"/>
      <c r="H47" s="165"/>
      <c r="I47" s="165"/>
      <c r="J47" s="165"/>
      <c r="K47" s="165"/>
      <c r="L47" s="165"/>
      <c r="M47" s="165"/>
      <c r="N47" s="165"/>
      <c r="O47" s="166"/>
    </row>
    <row r="48" spans="1:35" x14ac:dyDescent="0.3">
      <c r="A48" s="167" t="s">
        <v>4</v>
      </c>
      <c r="B48" s="168"/>
      <c r="C48" s="168" t="s">
        <v>28</v>
      </c>
      <c r="D48" s="168"/>
      <c r="E48" s="168"/>
      <c r="F48" s="168"/>
      <c r="G48" s="133"/>
      <c r="H48" s="133"/>
      <c r="I48" s="133"/>
      <c r="J48" s="133"/>
      <c r="K48" s="133"/>
      <c r="L48" s="133"/>
      <c r="M48" s="133"/>
      <c r="N48" s="133"/>
      <c r="O48" s="163"/>
    </row>
    <row r="49" spans="1:21" x14ac:dyDescent="0.3">
      <c r="A49" s="167" t="s">
        <v>2</v>
      </c>
      <c r="B49" s="168"/>
      <c r="C49" s="168" t="s">
        <v>28</v>
      </c>
      <c r="D49" s="168"/>
      <c r="E49" s="168"/>
      <c r="F49" s="168"/>
      <c r="G49" s="133"/>
      <c r="H49" s="133"/>
      <c r="I49" s="133"/>
      <c r="J49" s="133"/>
      <c r="K49" s="133"/>
      <c r="L49" s="133"/>
      <c r="M49" s="133"/>
      <c r="N49" s="133"/>
      <c r="O49" s="163"/>
      <c r="U49" t="e">
        <f ca="1">SpellNumber(O44)</f>
        <v>#NAME?</v>
      </c>
    </row>
    <row r="50" spans="1:21" x14ac:dyDescent="0.3">
      <c r="A50" s="167" t="s">
        <v>3</v>
      </c>
      <c r="B50" s="168"/>
      <c r="C50" s="168" t="s">
        <v>29</v>
      </c>
      <c r="D50" s="168"/>
      <c r="E50" s="168"/>
      <c r="F50" s="168"/>
      <c r="G50" s="133"/>
      <c r="H50" s="133"/>
      <c r="I50" s="133"/>
      <c r="J50" s="133"/>
      <c r="K50" s="133"/>
      <c r="L50" s="133"/>
      <c r="M50" s="133"/>
      <c r="N50" s="133"/>
      <c r="O50" s="163"/>
    </row>
    <row r="51" spans="1:21" x14ac:dyDescent="0.3">
      <c r="A51" s="167"/>
      <c r="B51" s="168"/>
      <c r="C51" s="168"/>
      <c r="D51" s="168"/>
      <c r="E51" s="168"/>
      <c r="F51" s="168"/>
      <c r="G51" s="133"/>
      <c r="H51" s="133"/>
      <c r="I51" s="133"/>
      <c r="J51" s="133"/>
      <c r="K51" s="133"/>
      <c r="L51" s="133"/>
      <c r="M51" s="133"/>
      <c r="N51" s="133"/>
      <c r="O51" s="163"/>
      <c r="T51" t="e">
        <f ca="1">SpellNumber(O44)</f>
        <v>#NAME?</v>
      </c>
    </row>
    <row r="52" spans="1:21" x14ac:dyDescent="0.3">
      <c r="A52" s="169" t="s">
        <v>6</v>
      </c>
      <c r="B52" s="151"/>
      <c r="C52" s="229" t="s">
        <v>24</v>
      </c>
      <c r="D52" s="229"/>
      <c r="E52" s="229"/>
      <c r="F52" s="229"/>
      <c r="G52" s="170"/>
      <c r="H52" s="170"/>
      <c r="I52" s="170"/>
      <c r="J52" s="170"/>
      <c r="K52" s="170"/>
      <c r="L52" s="170"/>
      <c r="M52" s="170"/>
      <c r="N52" s="170"/>
      <c r="O52" s="163"/>
      <c r="T52" t="e">
        <f ca="1">SpellNumber(O44)</f>
        <v>#NAME?</v>
      </c>
    </row>
    <row r="53" spans="1:21" x14ac:dyDescent="0.3">
      <c r="A53" s="171"/>
      <c r="B53" s="170"/>
      <c r="C53" s="170"/>
      <c r="D53" s="170"/>
      <c r="E53" s="170"/>
      <c r="F53" s="170"/>
      <c r="G53" s="170"/>
      <c r="H53" s="170"/>
      <c r="I53" s="170"/>
      <c r="J53" s="170"/>
      <c r="K53" s="170"/>
      <c r="L53" s="170"/>
      <c r="M53" s="170"/>
      <c r="N53" s="170"/>
      <c r="O53" s="163"/>
      <c r="T53" t="e">
        <f ca="1">SpellNumber(O44)</f>
        <v>#NAME?</v>
      </c>
    </row>
    <row r="54" spans="1:21" ht="15" customHeight="1" x14ac:dyDescent="0.3">
      <c r="A54" s="235" t="s">
        <v>30</v>
      </c>
      <c r="B54" s="236"/>
      <c r="C54" s="236"/>
      <c r="D54" s="236"/>
      <c r="E54" s="236"/>
      <c r="F54" s="236"/>
      <c r="G54" s="236"/>
      <c r="H54" s="172"/>
      <c r="I54" s="172"/>
      <c r="J54" s="170"/>
      <c r="K54" s="170"/>
      <c r="L54" s="170"/>
      <c r="M54" s="170"/>
      <c r="N54" s="170"/>
      <c r="O54" s="163"/>
    </row>
    <row r="55" spans="1:21" x14ac:dyDescent="0.3">
      <c r="A55" s="235"/>
      <c r="B55" s="236"/>
      <c r="C55" s="236"/>
      <c r="D55" s="236"/>
      <c r="E55" s="236"/>
      <c r="F55" s="236"/>
      <c r="G55" s="236"/>
      <c r="H55" s="172"/>
      <c r="I55" s="172"/>
      <c r="J55" s="170"/>
      <c r="K55" s="170"/>
      <c r="L55" s="170"/>
      <c r="M55" s="170"/>
      <c r="N55" s="170"/>
      <c r="O55" s="163"/>
    </row>
    <row r="56" spans="1:21" x14ac:dyDescent="0.3">
      <c r="A56" s="235"/>
      <c r="B56" s="236"/>
      <c r="C56" s="236"/>
      <c r="D56" s="236"/>
      <c r="E56" s="236"/>
      <c r="F56" s="236"/>
      <c r="G56" s="236"/>
      <c r="H56" s="172"/>
      <c r="I56" s="172"/>
      <c r="J56" s="170"/>
      <c r="K56" s="170"/>
      <c r="L56" s="170"/>
      <c r="M56" s="170"/>
      <c r="N56" s="170"/>
      <c r="O56" s="163"/>
    </row>
    <row r="57" spans="1:21" x14ac:dyDescent="0.3">
      <c r="A57" s="173" t="s">
        <v>92</v>
      </c>
      <c r="B57" s="174"/>
      <c r="C57" s="170"/>
      <c r="D57" s="170"/>
      <c r="E57" s="170"/>
      <c r="F57" s="170"/>
      <c r="G57" s="170"/>
      <c r="H57" s="170"/>
      <c r="I57" s="170"/>
      <c r="J57" s="170"/>
      <c r="K57" s="170"/>
      <c r="L57" s="170"/>
      <c r="M57" s="170"/>
      <c r="N57" s="170"/>
      <c r="O57" s="163"/>
    </row>
    <row r="58" spans="1:21" ht="15.75" thickBot="1" x14ac:dyDescent="0.35">
      <c r="A58" s="237" t="str">
        <f>IF(B1=X1,Z1,AA1)</f>
        <v>SINOCHEM TIANJIN CO., LTD</v>
      </c>
      <c r="B58" s="238" t="e">
        <f>IF(C57=#REF!,#REF!,#REF!)</f>
        <v>#REF!</v>
      </c>
      <c r="C58" s="238" t="e">
        <f>IF(D57=#REF!,#REF!,#REF!)</f>
        <v>#REF!</v>
      </c>
      <c r="D58" s="238" t="e">
        <f>IF(E57=#REF!,#REF!,#REF!)</f>
        <v>#REF!</v>
      </c>
      <c r="E58" s="175"/>
      <c r="F58" s="176"/>
      <c r="G58" s="176"/>
      <c r="H58" s="176"/>
      <c r="I58" s="176"/>
      <c r="J58" s="176"/>
      <c r="K58" s="176"/>
      <c r="L58" s="176"/>
      <c r="M58" s="176"/>
      <c r="N58" s="176"/>
      <c r="O58" s="177"/>
    </row>
  </sheetData>
  <mergeCells count="68">
    <mergeCell ref="A58:D58"/>
    <mergeCell ref="M38:N38"/>
    <mergeCell ref="M39:N39"/>
    <mergeCell ref="M44:N44"/>
    <mergeCell ref="A45:B45"/>
    <mergeCell ref="C45:K45"/>
    <mergeCell ref="A46:K46"/>
    <mergeCell ref="A37:B37"/>
    <mergeCell ref="C37:D37"/>
    <mergeCell ref="M37:N37"/>
    <mergeCell ref="C52:F52"/>
    <mergeCell ref="A54:G56"/>
    <mergeCell ref="B34:D34"/>
    <mergeCell ref="E34:F34"/>
    <mergeCell ref="A36:B36"/>
    <mergeCell ref="C36:D36"/>
    <mergeCell ref="M36:N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6:D16"/>
    <mergeCell ref="E16:F16"/>
    <mergeCell ref="B17:D17"/>
    <mergeCell ref="E17:F17"/>
    <mergeCell ref="B18:D18"/>
    <mergeCell ref="E18:F18"/>
    <mergeCell ref="M12:N12"/>
    <mergeCell ref="M13:N13"/>
    <mergeCell ref="Q13:R14"/>
    <mergeCell ref="M14:N14"/>
    <mergeCell ref="M15:N15"/>
    <mergeCell ref="A10:D10"/>
    <mergeCell ref="M10:N10"/>
    <mergeCell ref="A11:B11"/>
    <mergeCell ref="C11:D11"/>
    <mergeCell ref="M11:N11"/>
    <mergeCell ref="B1:F1"/>
    <mergeCell ref="N2:O2"/>
    <mergeCell ref="N3:O3"/>
    <mergeCell ref="K5:M5"/>
    <mergeCell ref="N5:O5"/>
  </mergeCells>
  <dataValidations count="3">
    <dataValidation type="list" allowBlank="1" showInputMessage="1" showErrorMessage="1" sqref="H17:H34" xr:uid="{00000000-0002-0000-0400-000000000000}">
      <formula1>$AF$11:$AF$12</formula1>
    </dataValidation>
    <dataValidation type="list" allowBlank="1" showInputMessage="1" showErrorMessage="1" sqref="B1:F1" xr:uid="{00000000-0002-0000-0400-000001000000}">
      <formula1>$X$1:$Y$1</formula1>
    </dataValidation>
    <dataValidation type="list" allowBlank="1" showInputMessage="1" showErrorMessage="1" sqref="A10:D10" xr:uid="{00000000-0002-0000-0400-000002000000}">
      <formula1>$AI$1:$AI$21</formula1>
    </dataValidation>
  </dataValidations>
  <printOptions horizontalCentered="1"/>
  <pageMargins left="0.511811023622047" right="0.511811023622047" top="0.511811023622047" bottom="0.511811023622047" header="0.511811023622047" footer="0.23622047244094499"/>
  <pageSetup scale="6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9"/>
  <dimension ref="A1:AK58"/>
  <sheetViews>
    <sheetView showGridLines="0" topLeftCell="A7" zoomScale="93" zoomScaleNormal="93" workbookViewId="0">
      <selection activeCell="H24" sqref="H24"/>
    </sheetView>
  </sheetViews>
  <sheetFormatPr defaultRowHeight="15" x14ac:dyDescent="0.3"/>
  <cols>
    <col min="1" max="3" width="11.42578125" customWidth="1"/>
    <col min="4" max="4" width="21.140625" customWidth="1"/>
    <col min="5" max="5" width="11.42578125" customWidth="1"/>
    <col min="6" max="6" width="17" customWidth="1"/>
    <col min="7" max="7" width="8.140625" bestFit="1" customWidth="1"/>
    <col min="8" max="8" width="8.140625" customWidth="1"/>
    <col min="9" max="9" width="9.42578125" hidden="1" customWidth="1"/>
    <col min="10" max="11" width="11.42578125" customWidth="1"/>
    <col min="12" max="12" width="11.42578125" hidden="1" customWidth="1"/>
    <col min="13" max="14" width="11.42578125" customWidth="1"/>
    <col min="15" max="15" width="16.85546875" customWidth="1"/>
    <col min="16" max="16" width="10.85546875" bestFit="1" customWidth="1"/>
    <col min="17" max="17" width="9.85546875" bestFit="1" customWidth="1"/>
    <col min="20" max="20" width="11.85546875" bestFit="1" customWidth="1"/>
    <col min="35" max="35" width="40.140625" bestFit="1" customWidth="1"/>
  </cols>
  <sheetData>
    <row r="1" spans="1:37" ht="78" customHeight="1" x14ac:dyDescent="0.45">
      <c r="A1" s="183"/>
      <c r="B1" s="204" t="s">
        <v>108</v>
      </c>
      <c r="C1" s="204"/>
      <c r="D1" s="204"/>
      <c r="E1" s="204"/>
      <c r="F1" s="204"/>
      <c r="G1" s="119"/>
      <c r="H1" s="119"/>
      <c r="I1" s="119"/>
      <c r="J1" s="119"/>
      <c r="K1" s="119"/>
      <c r="L1" s="119"/>
      <c r="M1" s="119"/>
      <c r="N1" s="119"/>
      <c r="O1" s="120" t="s">
        <v>7</v>
      </c>
      <c r="X1" s="87" t="s">
        <v>74</v>
      </c>
      <c r="Y1" s="88" t="s">
        <v>108</v>
      </c>
      <c r="Z1" s="38" t="s">
        <v>69</v>
      </c>
      <c r="AA1" s="38" t="s">
        <v>109</v>
      </c>
      <c r="AI1" s="115" t="e">
        <f>IF(#REF!="","",#REF!)</f>
        <v>#REF!</v>
      </c>
    </row>
    <row r="2" spans="1:37" ht="16.5" x14ac:dyDescent="0.3">
      <c r="A2" s="121" t="str">
        <f>IF(B1=X1,Z1,AA1)</f>
        <v>SINOCHEM TIANJIN CO., LTD</v>
      </c>
      <c r="B2" s="122"/>
      <c r="C2" s="122"/>
      <c r="D2" s="123"/>
      <c r="E2" s="123"/>
      <c r="F2" s="123"/>
      <c r="G2" s="123"/>
      <c r="H2" s="123"/>
      <c r="I2" s="123"/>
      <c r="J2" s="123"/>
      <c r="K2" s="124"/>
      <c r="L2" s="124"/>
      <c r="M2" s="125" t="s">
        <v>45</v>
      </c>
      <c r="N2" s="205" t="s">
        <v>97</v>
      </c>
      <c r="O2" s="206"/>
      <c r="Z2" s="89" t="s">
        <v>144</v>
      </c>
      <c r="AA2" s="89" t="s">
        <v>111</v>
      </c>
      <c r="AI2" s="115" t="e">
        <f>IF(#REF!="","",#REF!)</f>
        <v>#REF!</v>
      </c>
    </row>
    <row r="3" spans="1:37" ht="16.5" x14ac:dyDescent="0.3">
      <c r="A3" s="126" t="s">
        <v>11</v>
      </c>
      <c r="B3" s="127"/>
      <c r="C3" s="127"/>
      <c r="D3" s="128"/>
      <c r="E3" s="128"/>
      <c r="F3" s="128"/>
      <c r="G3" s="128"/>
      <c r="H3" s="128"/>
      <c r="I3" s="128"/>
      <c r="J3" s="128"/>
      <c r="K3" s="129"/>
      <c r="L3" s="129"/>
      <c r="M3" s="125" t="s">
        <v>44</v>
      </c>
      <c r="N3" s="205" t="s">
        <v>146</v>
      </c>
      <c r="O3" s="206"/>
      <c r="Z3" s="38" t="s">
        <v>112</v>
      </c>
      <c r="AA3" s="38" t="s">
        <v>113</v>
      </c>
      <c r="AI3" s="115" t="e">
        <f>IF(#REF!="","",#REF!)</f>
        <v>#REF!</v>
      </c>
      <c r="AK3" t="e">
        <f>IF(AI1=0,"",AI1)</f>
        <v>#REF!</v>
      </c>
    </row>
    <row r="4" spans="1:37" ht="15" customHeight="1" x14ac:dyDescent="0.3">
      <c r="A4" s="126" t="s">
        <v>12</v>
      </c>
      <c r="B4" s="127"/>
      <c r="C4" s="127"/>
      <c r="D4" s="123"/>
      <c r="E4" s="123"/>
      <c r="F4" s="123"/>
      <c r="G4" s="123"/>
      <c r="H4" s="123"/>
      <c r="I4" s="123"/>
      <c r="J4" s="123"/>
      <c r="K4" s="124"/>
      <c r="L4" s="124"/>
      <c r="M4" s="125" t="s">
        <v>47</v>
      </c>
      <c r="N4" s="130" t="str">
        <f>VLOOKUP(A10,[1]Sheet2!A$1:F$65536,6,FALSE)</f>
        <v>SYS/</v>
      </c>
      <c r="O4" s="186" t="s">
        <v>101</v>
      </c>
      <c r="AI4" s="115" t="e">
        <f>IF(#REF!="","",#REF!)</f>
        <v>#REF!</v>
      </c>
    </row>
    <row r="5" spans="1:37" ht="16.5" x14ac:dyDescent="0.3">
      <c r="A5" s="126" t="s">
        <v>10</v>
      </c>
      <c r="B5" s="127"/>
      <c r="C5" s="127"/>
      <c r="D5" s="123"/>
      <c r="E5" s="123"/>
      <c r="F5" s="123"/>
      <c r="G5" s="123"/>
      <c r="H5" s="123"/>
      <c r="I5" s="123"/>
      <c r="J5" s="123"/>
      <c r="K5" s="207"/>
      <c r="L5" s="207"/>
      <c r="M5" s="207"/>
      <c r="N5" s="208"/>
      <c r="O5" s="209"/>
      <c r="AI5" s="115" t="e">
        <f>IF(#REF!="","",#REF!)</f>
        <v>#REF!</v>
      </c>
    </row>
    <row r="6" spans="1:37" ht="16.5" x14ac:dyDescent="0.3">
      <c r="A6" s="126" t="s">
        <v>9</v>
      </c>
      <c r="B6" s="127"/>
      <c r="C6" s="127"/>
      <c r="D6" s="123"/>
      <c r="E6" s="123"/>
      <c r="F6" s="123"/>
      <c r="G6" s="123"/>
      <c r="H6" s="123"/>
      <c r="I6" s="123"/>
      <c r="J6" s="123"/>
      <c r="K6" s="123"/>
      <c r="L6" s="123"/>
      <c r="M6" s="123"/>
      <c r="N6" s="123"/>
      <c r="O6" s="131"/>
      <c r="AI6" s="115" t="e">
        <f>IF(#REF!="","",#REF!)</f>
        <v>#REF!</v>
      </c>
    </row>
    <row r="7" spans="1:37" ht="16.5" x14ac:dyDescent="0.3">
      <c r="A7" s="132"/>
      <c r="B7" s="133"/>
      <c r="C7" s="133"/>
      <c r="D7" s="123"/>
      <c r="E7" s="123"/>
      <c r="F7" s="123"/>
      <c r="G7" s="123"/>
      <c r="H7" s="123"/>
      <c r="I7" s="123"/>
      <c r="J7" s="123"/>
      <c r="K7" s="123"/>
      <c r="L7" s="123"/>
      <c r="M7" s="123"/>
      <c r="N7" s="123"/>
      <c r="O7" s="131"/>
      <c r="S7" s="51"/>
      <c r="T7" s="50"/>
      <c r="AI7" s="115" t="e">
        <f>IF(#REF!="","",#REF!)</f>
        <v>#REF!</v>
      </c>
    </row>
    <row r="8" spans="1:37" ht="17.25" thickBot="1" x14ac:dyDescent="0.35">
      <c r="A8" s="132"/>
      <c r="B8" s="133"/>
      <c r="C8" s="133"/>
      <c r="D8" s="133"/>
      <c r="E8" s="133"/>
      <c r="F8" s="133"/>
      <c r="G8" s="133"/>
      <c r="H8" s="133"/>
      <c r="I8" s="133"/>
      <c r="J8" s="133"/>
      <c r="K8" s="133"/>
      <c r="L8" s="133"/>
      <c r="M8" s="133"/>
      <c r="N8" s="133"/>
      <c r="O8" s="131"/>
      <c r="S8" s="51"/>
      <c r="T8" s="50"/>
      <c r="AI8" s="115" t="e">
        <f>IF(#REF!="","",#REF!)</f>
        <v>#REF!</v>
      </c>
    </row>
    <row r="9" spans="1:37" ht="17.25" thickBot="1" x14ac:dyDescent="0.35">
      <c r="A9" s="192" t="s">
        <v>1</v>
      </c>
      <c r="B9" s="193"/>
      <c r="C9" s="193"/>
      <c r="D9" s="193"/>
      <c r="E9" s="193"/>
      <c r="F9" s="193"/>
      <c r="G9" s="193"/>
      <c r="H9" s="193"/>
      <c r="I9" s="193"/>
      <c r="J9" s="193"/>
      <c r="K9" s="193"/>
      <c r="L9" s="193"/>
      <c r="M9" s="193"/>
      <c r="N9" s="193" t="s">
        <v>31</v>
      </c>
      <c r="O9" s="194"/>
      <c r="AI9" s="115" t="e">
        <f>IF(#REF!="","",#REF!)</f>
        <v>#REF!</v>
      </c>
    </row>
    <row r="10" spans="1:37" ht="16.5" x14ac:dyDescent="0.3">
      <c r="A10" s="210" t="s">
        <v>88</v>
      </c>
      <c r="B10" s="211"/>
      <c r="C10" s="211"/>
      <c r="D10" s="211"/>
      <c r="E10" s="123"/>
      <c r="F10" s="123"/>
      <c r="G10" s="123"/>
      <c r="H10" s="123"/>
      <c r="I10" s="123"/>
      <c r="J10" s="123"/>
      <c r="K10" s="123"/>
      <c r="L10" s="123"/>
      <c r="M10" s="212" t="s">
        <v>32</v>
      </c>
      <c r="N10" s="212"/>
      <c r="O10" s="134" t="s">
        <v>34</v>
      </c>
      <c r="AI10" s="115" t="e">
        <f>IF(#REF!="","",#REF!)</f>
        <v>#REF!</v>
      </c>
    </row>
    <row r="11" spans="1:37" ht="16.5" customHeight="1" x14ac:dyDescent="0.3">
      <c r="A11" s="213" t="s">
        <v>90</v>
      </c>
      <c r="B11" s="214"/>
      <c r="C11" s="214" t="e">
        <f>VLOOKUP(A10,#REF!,2,FALSE)</f>
        <v>#REF!</v>
      </c>
      <c r="D11" s="214"/>
      <c r="E11" s="123"/>
      <c r="F11" s="123"/>
      <c r="G11" s="123"/>
      <c r="H11" s="123"/>
      <c r="I11" s="123"/>
      <c r="J11" s="123"/>
      <c r="K11" s="123"/>
      <c r="L11" s="123"/>
      <c r="M11" s="212" t="s">
        <v>42</v>
      </c>
      <c r="N11" s="212"/>
      <c r="O11" s="134" t="s">
        <v>43</v>
      </c>
      <c r="AF11" t="s">
        <v>105</v>
      </c>
      <c r="AI11" s="115" t="e">
        <f>IF(#REF!="","",#REF!)</f>
        <v>#REF!</v>
      </c>
    </row>
    <row r="12" spans="1:37" ht="16.5" customHeight="1" x14ac:dyDescent="0.3">
      <c r="A12" s="126" t="e">
        <f>VLOOKUP(A10,#REF!,3,FALSE)</f>
        <v>#REF!</v>
      </c>
      <c r="B12" s="127"/>
      <c r="C12" s="127"/>
      <c r="D12" s="123"/>
      <c r="E12" s="123"/>
      <c r="F12" s="123"/>
      <c r="G12" s="123"/>
      <c r="H12" s="123"/>
      <c r="I12" s="123"/>
      <c r="J12" s="123"/>
      <c r="K12" s="123"/>
      <c r="L12" s="123"/>
      <c r="M12" s="212" t="s">
        <v>41</v>
      </c>
      <c r="N12" s="212"/>
      <c r="O12" s="135">
        <f xml:space="preserve"> M35</f>
        <v>11720</v>
      </c>
      <c r="AF12" t="s">
        <v>106</v>
      </c>
      <c r="AI12" s="115" t="e">
        <f>IF(#REF!="","",#REF!)</f>
        <v>#REF!</v>
      </c>
    </row>
    <row r="13" spans="1:37" ht="16.5" customHeight="1" x14ac:dyDescent="0.3">
      <c r="A13" s="126" t="s">
        <v>70</v>
      </c>
      <c r="B13" s="127" t="e">
        <f>VLOOKUP(A10,#REF!,4,FALSE)</f>
        <v>#REF!</v>
      </c>
      <c r="C13" s="127"/>
      <c r="D13" s="123"/>
      <c r="E13" s="123"/>
      <c r="F13" s="123"/>
      <c r="G13" s="123"/>
      <c r="H13" s="123"/>
      <c r="I13" s="123"/>
      <c r="J13" s="123"/>
      <c r="K13" s="123"/>
      <c r="L13" s="123"/>
      <c r="M13" s="212" t="s">
        <v>35</v>
      </c>
      <c r="N13" s="212"/>
      <c r="O13" s="136" t="str">
        <f>IF(I35=1,"Cartons",IF(I35=2,"Drums","Cartons &amp; Drums"))</f>
        <v>Cartons &amp; Drums</v>
      </c>
      <c r="Q13" s="215"/>
      <c r="R13" s="215"/>
      <c r="S13" s="195"/>
      <c r="T13" s="64"/>
      <c r="U13" s="65"/>
      <c r="AI13" s="115" t="e">
        <f>IF(#REF!="","",#REF!)</f>
        <v>#REF!</v>
      </c>
    </row>
    <row r="14" spans="1:37" ht="16.5" customHeight="1" x14ac:dyDescent="0.3">
      <c r="A14" s="137" t="s">
        <v>71</v>
      </c>
      <c r="B14" s="138" t="e">
        <f>VLOOKUP(A10,#REF!,5,FALSE)</f>
        <v>#REF!</v>
      </c>
      <c r="C14" s="127"/>
      <c r="D14" s="123"/>
      <c r="E14" s="123"/>
      <c r="F14" s="123"/>
      <c r="G14" s="123"/>
      <c r="H14" s="123"/>
      <c r="I14" s="123"/>
      <c r="J14" s="123"/>
      <c r="K14" s="123"/>
      <c r="L14" s="123"/>
      <c r="M14" s="212" t="s">
        <v>33</v>
      </c>
      <c r="N14" s="212"/>
      <c r="O14" s="136">
        <f>SUM(L17:L34)</f>
        <v>440</v>
      </c>
      <c r="Q14" s="215"/>
      <c r="R14" s="215"/>
      <c r="S14" s="195"/>
      <c r="T14" s="195"/>
      <c r="U14" s="66"/>
      <c r="AI14" s="115" t="e">
        <f>IF(#REF!="","",#REF!)</f>
        <v>#REF!</v>
      </c>
    </row>
    <row r="15" spans="1:37" ht="17.25" thickBot="1" x14ac:dyDescent="0.35">
      <c r="A15" s="132"/>
      <c r="B15" s="133"/>
      <c r="C15" s="138"/>
      <c r="D15" s="133"/>
      <c r="E15" s="133"/>
      <c r="F15" s="133"/>
      <c r="G15" s="133"/>
      <c r="H15" s="133"/>
      <c r="I15" s="133"/>
      <c r="J15" s="133"/>
      <c r="K15" s="133"/>
      <c r="L15" s="133"/>
      <c r="M15" s="212"/>
      <c r="N15" s="212"/>
      <c r="O15" s="134"/>
      <c r="AI15" s="115" t="e">
        <f>IF(#REF!="","",#REF!)</f>
        <v>#REF!</v>
      </c>
    </row>
    <row r="16" spans="1:37" ht="48.75" customHeight="1" thickBot="1" x14ac:dyDescent="0.35">
      <c r="A16" s="179" t="s">
        <v>17</v>
      </c>
      <c r="B16" s="216" t="s">
        <v>0</v>
      </c>
      <c r="C16" s="216"/>
      <c r="D16" s="216"/>
      <c r="E16" s="216" t="s">
        <v>39</v>
      </c>
      <c r="F16" s="216"/>
      <c r="G16" s="139" t="s">
        <v>18</v>
      </c>
      <c r="H16" s="139" t="s">
        <v>104</v>
      </c>
      <c r="I16" s="139"/>
      <c r="J16" s="140" t="s">
        <v>19</v>
      </c>
      <c r="K16" s="140" t="s">
        <v>20</v>
      </c>
      <c r="L16" s="139" t="s">
        <v>126</v>
      </c>
      <c r="M16" s="140" t="s">
        <v>143</v>
      </c>
      <c r="N16" s="139" t="s">
        <v>49</v>
      </c>
      <c r="O16" s="141" t="s">
        <v>50</v>
      </c>
      <c r="Q16" s="32" t="s">
        <v>72</v>
      </c>
      <c r="R16" s="32" t="s">
        <v>81</v>
      </c>
      <c r="S16" s="32" t="s">
        <v>94</v>
      </c>
      <c r="T16" s="32" t="s">
        <v>93</v>
      </c>
      <c r="U16" s="32" t="s">
        <v>73</v>
      </c>
      <c r="AA16" s="114"/>
      <c r="AI16" s="115" t="e">
        <f>IF(#REF!="","",#REF!)</f>
        <v>#REF!</v>
      </c>
    </row>
    <row r="17" spans="1:35" s="50" customFormat="1" ht="30" customHeight="1" thickBot="1" x14ac:dyDescent="0.35">
      <c r="A17" s="180">
        <v>2053</v>
      </c>
      <c r="B17" s="217" t="e">
        <f>IF(A17:A28="","",IF(N$4="sys/",VLOOKUP(A17:A28,#REF!,4,FALSE),VLOOKUP(A17:A28,#REF!,4,FALSE)))</f>
        <v>#REF!</v>
      </c>
      <c r="C17" s="218"/>
      <c r="D17" s="219"/>
      <c r="E17" s="220" t="e">
        <f>IF(A17:A28="","",IF(N$4="sys/",VLOOKUP(A17:A28,#REF!,7,FALSE),VLOOKUP(A17:A28,#REF!,7,FALSE)))</f>
        <v>#REF!</v>
      </c>
      <c r="F17" s="221"/>
      <c r="G17" s="117" t="e">
        <f>IF(A17:A28="","",IF(P$4="sys/",VLOOKUP(A17:A28,#REF!,9,FALSE),VLOOKUP(A17:A28,#REF!,9,FALSE)))</f>
        <v>#REF!</v>
      </c>
      <c r="H17" s="187" t="s">
        <v>105</v>
      </c>
      <c r="I17" s="117">
        <f>IF(H17="","",IF(H17="carton",1,2))</f>
        <v>1</v>
      </c>
      <c r="J17" s="142" t="e">
        <f>IF(A17:A28="","",IF(N$4="sys/",VLOOKUP(A17:A28,#REF!,8,FALSE),VLOOKUP(A17:A28,#REF!,8,FALSE)))</f>
        <v>#REF!</v>
      </c>
      <c r="K17" s="187">
        <v>2000</v>
      </c>
      <c r="L17" s="143">
        <f t="shared" ref="L17:L34" si="0">IF(A17=142,K17/10,IF(A17=8064,K17/20,K17/25))</f>
        <v>80</v>
      </c>
      <c r="M17" s="178">
        <f t="shared" ref="M17:M34" si="1">IF(A17="","",IF(H17="carton",(IF(A17=8064,(K17*21.5/20),(K17*26.5/25))),IF(H17="drum",IF(A17=142,(K17*13/10),K17*28/25))))</f>
        <v>2120</v>
      </c>
      <c r="N17" s="142" t="str">
        <f t="shared" ref="N17:N34" si="2">IF(Q17="","",FIXED(Q17-(O$37/K$35),2,1))</f>
        <v>71.60</v>
      </c>
      <c r="O17" s="144">
        <f>IF(K17="","",K17*N17)</f>
        <v>143200</v>
      </c>
      <c r="P17" s="49"/>
      <c r="Q17" s="181">
        <v>72.2</v>
      </c>
      <c r="R17" s="181"/>
      <c r="S17" s="73"/>
      <c r="T17" s="63"/>
      <c r="AA17" s="114"/>
      <c r="AI17" s="115" t="e">
        <f>IF(#REF!="","",#REF!)</f>
        <v>#REF!</v>
      </c>
    </row>
    <row r="18" spans="1:35" s="50" customFormat="1" ht="30" customHeight="1" thickBot="1" x14ac:dyDescent="0.35">
      <c r="A18" s="184" t="s">
        <v>62</v>
      </c>
      <c r="B18" s="222" t="e">
        <f>IF(A18:A35="","",IF(N$4="sys/",VLOOKUP(A18:A35,#REF!,4,FALSE),VLOOKUP(A18:A35,#REF!,4,FALSE)))</f>
        <v>#REF!</v>
      </c>
      <c r="C18" s="223"/>
      <c r="D18" s="224"/>
      <c r="E18" s="225" t="e">
        <f>IF(A18:A35="","",IF(N$4="sys/",VLOOKUP(A18:A35,#REF!,7,FALSE),VLOOKUP(A18:A35,#REF!,7,FALSE)))</f>
        <v>#REF!</v>
      </c>
      <c r="F18" s="226"/>
      <c r="G18" s="118" t="e">
        <f>IF(A18:A35="","",IF(P$4="sys/",VLOOKUP(A18:A35,#REF!,9,FALSE),VLOOKUP(A18:A35,#REF!,9,FALSE)))</f>
        <v>#REF!</v>
      </c>
      <c r="H18" s="188" t="s">
        <v>105</v>
      </c>
      <c r="I18" s="118">
        <f t="shared" ref="I18:I34" si="3">IF(H18="","",IF(H18="carton",1,2))</f>
        <v>1</v>
      </c>
      <c r="J18" s="145" t="e">
        <f>IF(A18:A35="","",IF(N$4="sys/",VLOOKUP(A18:A35,#REF!,8,FALSE),VLOOKUP(A18:A35,#REF!,8,FALSE)))</f>
        <v>#REF!</v>
      </c>
      <c r="K18" s="188">
        <v>1000</v>
      </c>
      <c r="L18" s="143">
        <f t="shared" si="0"/>
        <v>40</v>
      </c>
      <c r="M18" s="145">
        <f t="shared" si="1"/>
        <v>1060</v>
      </c>
      <c r="N18" s="145" t="str">
        <f t="shared" si="2"/>
        <v>47.44</v>
      </c>
      <c r="O18" s="146">
        <f t="shared" ref="O18:O34" si="4">IF(K18="","",K18*N18)</f>
        <v>47440</v>
      </c>
      <c r="P18" s="49"/>
      <c r="Q18" s="181">
        <v>48.04</v>
      </c>
      <c r="R18" s="181"/>
      <c r="S18" s="73"/>
      <c r="T18" s="63"/>
      <c r="AA18" s="114"/>
      <c r="AI18" s="115" t="e">
        <f>IF(#REF!="","",#REF!)</f>
        <v>#REF!</v>
      </c>
    </row>
    <row r="19" spans="1:35" s="50" customFormat="1" ht="30" customHeight="1" thickBot="1" x14ac:dyDescent="0.35">
      <c r="A19" s="184">
        <v>2813</v>
      </c>
      <c r="B19" s="222" t="e">
        <f>IF(A19:A36="","",IF(N$4="sys/",VLOOKUP(A19:A36,#REF!,4,FALSE),VLOOKUP(A19:A36,#REF!,4,FALSE)))</f>
        <v>#REF!</v>
      </c>
      <c r="C19" s="223"/>
      <c r="D19" s="224"/>
      <c r="E19" s="225" t="e">
        <f>IF(A19:A36="","",IF(N$4="sys/",VLOOKUP(A19:A36,#REF!,7,FALSE),VLOOKUP(A19:A36,#REF!,7,FALSE)))</f>
        <v>#REF!</v>
      </c>
      <c r="F19" s="226"/>
      <c r="G19" s="118" t="e">
        <f>IF(A19:A36="","",IF(P$4="sys/",VLOOKUP(A19:A36,#REF!,9,FALSE),VLOOKUP(A19:A36,#REF!,9,FALSE)))</f>
        <v>#REF!</v>
      </c>
      <c r="H19" s="188" t="s">
        <v>105</v>
      </c>
      <c r="I19" s="118">
        <f t="shared" si="3"/>
        <v>1</v>
      </c>
      <c r="J19" s="145" t="e">
        <f>IF(A19:A36="","",IF(N$4="sys/",VLOOKUP(A19:A36,#REF!,8,FALSE),VLOOKUP(A19:A36,#REF!,8,FALSE)))</f>
        <v>#REF!</v>
      </c>
      <c r="K19" s="188">
        <v>1000</v>
      </c>
      <c r="L19" s="143">
        <f t="shared" si="0"/>
        <v>40</v>
      </c>
      <c r="M19" s="145">
        <f t="shared" si="1"/>
        <v>1060</v>
      </c>
      <c r="N19" s="145" t="str">
        <f t="shared" si="2"/>
        <v>48.49</v>
      </c>
      <c r="O19" s="146">
        <f t="shared" si="4"/>
        <v>48490</v>
      </c>
      <c r="P19" s="49"/>
      <c r="Q19" s="181">
        <v>49.09</v>
      </c>
      <c r="R19" s="181"/>
      <c r="S19" s="73"/>
      <c r="T19" s="63"/>
      <c r="AA19" s="114"/>
      <c r="AI19" s="115" t="e">
        <f>IF(#REF!="","",#REF!)</f>
        <v>#REF!</v>
      </c>
    </row>
    <row r="20" spans="1:35" s="50" customFormat="1" ht="30" customHeight="1" thickBot="1" x14ac:dyDescent="0.35">
      <c r="A20" s="184">
        <v>2842</v>
      </c>
      <c r="B20" s="222" t="e">
        <f>IF(A20:A37="","",IF(N$4="sys/",VLOOKUP(A20:A37,#REF!,4,FALSE),VLOOKUP(A20:A37,#REF!,4,FALSE)))</f>
        <v>#REF!</v>
      </c>
      <c r="C20" s="223"/>
      <c r="D20" s="224"/>
      <c r="E20" s="225" t="e">
        <f>IF(A20:A37="","",IF(N$4="sys/",VLOOKUP(A20:A37,#REF!,7,FALSE),VLOOKUP(A20:A37,#REF!,7,FALSE)))</f>
        <v>#REF!</v>
      </c>
      <c r="F20" s="226"/>
      <c r="G20" s="118" t="e">
        <f>IF(A20:A37="","",IF(P$4="sys/",VLOOKUP(A20:A37,#REF!,9,FALSE),VLOOKUP(A20:A37,#REF!,9,FALSE)))</f>
        <v>#REF!</v>
      </c>
      <c r="H20" s="188" t="s">
        <v>105</v>
      </c>
      <c r="I20" s="118">
        <f t="shared" si="3"/>
        <v>1</v>
      </c>
      <c r="J20" s="145" t="e">
        <f>IF(A20:A37="","",IF(N$4="sys/",VLOOKUP(A20:A37,#REF!,8,FALSE),VLOOKUP(A20:A37,#REF!,8,FALSE)))</f>
        <v>#REF!</v>
      </c>
      <c r="K20" s="188">
        <v>1000</v>
      </c>
      <c r="L20" s="143">
        <f t="shared" si="0"/>
        <v>40</v>
      </c>
      <c r="M20" s="145">
        <f t="shared" si="1"/>
        <v>1060</v>
      </c>
      <c r="N20" s="145" t="str">
        <f t="shared" si="2"/>
        <v>35.98</v>
      </c>
      <c r="O20" s="146">
        <f t="shared" si="4"/>
        <v>35980</v>
      </c>
      <c r="P20" s="49"/>
      <c r="Q20" s="181">
        <v>36.58</v>
      </c>
      <c r="R20" s="181"/>
      <c r="S20" s="73"/>
      <c r="T20" s="63"/>
      <c r="AA20" s="114"/>
      <c r="AI20" s="115" t="e">
        <f>IF(#REF!="","",#REF!)</f>
        <v>#REF!</v>
      </c>
    </row>
    <row r="21" spans="1:35" s="50" customFormat="1" ht="30" customHeight="1" thickBot="1" x14ac:dyDescent="0.35">
      <c r="A21" s="184">
        <v>2383</v>
      </c>
      <c r="B21" s="222" t="e">
        <f>IF(A21:A38="","",IF(N$4="sys/",VLOOKUP(A21:A38,#REF!,4,FALSE),VLOOKUP(A21:A38,#REF!,4,FALSE)))</f>
        <v>#REF!</v>
      </c>
      <c r="C21" s="223"/>
      <c r="D21" s="224"/>
      <c r="E21" s="225" t="e">
        <f>IF(A21:A38="","",IF(N$4="sys/",VLOOKUP(A21:A38,#REF!,7,FALSE),VLOOKUP(A21:A38,#REF!,7,FALSE)))</f>
        <v>#REF!</v>
      </c>
      <c r="F21" s="226"/>
      <c r="G21" s="118" t="e">
        <f>IF(A21:A38="","",IF(P$4="sys/",VLOOKUP(A21:A38,#REF!,9,FALSE),VLOOKUP(A21:A38,#REF!,9,FALSE)))</f>
        <v>#REF!</v>
      </c>
      <c r="H21" s="188" t="s">
        <v>105</v>
      </c>
      <c r="I21" s="118">
        <f t="shared" si="3"/>
        <v>1</v>
      </c>
      <c r="J21" s="145" t="e">
        <f>IF(A21:A38="","",IF(N$4="sys/",VLOOKUP(A21:A38,#REF!,8,FALSE),VLOOKUP(A21:A38,#REF!,8,FALSE)))</f>
        <v>#REF!</v>
      </c>
      <c r="K21" s="188">
        <v>5000</v>
      </c>
      <c r="L21" s="143">
        <f t="shared" si="0"/>
        <v>200</v>
      </c>
      <c r="M21" s="145">
        <f t="shared" si="1"/>
        <v>5300</v>
      </c>
      <c r="N21" s="145" t="str">
        <f t="shared" si="2"/>
        <v>48.01</v>
      </c>
      <c r="O21" s="146">
        <f t="shared" si="4"/>
        <v>240050</v>
      </c>
      <c r="P21" s="49"/>
      <c r="Q21" s="182">
        <v>48.61</v>
      </c>
      <c r="R21" s="182"/>
      <c r="S21" s="73"/>
      <c r="T21" s="63"/>
      <c r="AA21" s="114"/>
      <c r="AI21" s="115" t="e">
        <f>IF(#REF!="","",#REF!)</f>
        <v>#REF!</v>
      </c>
    </row>
    <row r="22" spans="1:35" s="50" customFormat="1" ht="30" customHeight="1" thickBot="1" x14ac:dyDescent="0.35">
      <c r="A22" s="184">
        <v>4063</v>
      </c>
      <c r="B22" s="222" t="e">
        <f>IF(A22:A39="","",IF(N$4="sys/",VLOOKUP(A22:A39,#REF!,4,FALSE),VLOOKUP(A22:A39,#REF!,4,FALSE)))</f>
        <v>#REF!</v>
      </c>
      <c r="C22" s="223"/>
      <c r="D22" s="224"/>
      <c r="E22" s="225" t="e">
        <f>IF(A22:A39="","",IF(N$4="sys/",VLOOKUP(A22:A39,#REF!,7,FALSE),VLOOKUP(A22:A39,#REF!,7,FALSE)))</f>
        <v>#REF!</v>
      </c>
      <c r="F22" s="226"/>
      <c r="G22" s="118" t="e">
        <f>IF(A22:A39="","",IF(P$4="sys/",VLOOKUP(A22:A39,#REF!,9,FALSE),VLOOKUP(A22:A39,#REF!,9,FALSE)))</f>
        <v>#REF!</v>
      </c>
      <c r="H22" s="188" t="s">
        <v>106</v>
      </c>
      <c r="I22" s="118">
        <f t="shared" si="3"/>
        <v>2</v>
      </c>
      <c r="J22" s="145" t="e">
        <f>IF(A22:A39="","",IF(N$4="sys/",VLOOKUP(A22:A39,#REF!,8,FALSE),VLOOKUP(A22:A39,#REF!,8,FALSE)))</f>
        <v>#REF!</v>
      </c>
      <c r="K22" s="188">
        <v>1000</v>
      </c>
      <c r="L22" s="143">
        <f t="shared" si="0"/>
        <v>40</v>
      </c>
      <c r="M22" s="145">
        <f t="shared" si="1"/>
        <v>1120</v>
      </c>
      <c r="N22" s="145" t="str">
        <f t="shared" si="2"/>
        <v>79.91</v>
      </c>
      <c r="O22" s="146">
        <f t="shared" si="4"/>
        <v>79910</v>
      </c>
      <c r="P22" s="49"/>
      <c r="Q22" s="189">
        <v>80.510000000000005</v>
      </c>
      <c r="R22" s="189"/>
      <c r="S22" s="73"/>
      <c r="T22" s="71"/>
      <c r="AA22" s="114"/>
      <c r="AI22" s="115" t="e">
        <f>IF(#REF!="","",#REF!)</f>
        <v>#REF!</v>
      </c>
    </row>
    <row r="23" spans="1:35" s="50" customFormat="1" ht="30" customHeight="1" thickBot="1" x14ac:dyDescent="0.35">
      <c r="A23" s="184"/>
      <c r="B23" s="222" t="str">
        <f>IF(A23:A40="","",IF(N$4="sys/",VLOOKUP(A23:A40,#REF!,4,FALSE),VLOOKUP(A23:A40,#REF!,4,FALSE)))</f>
        <v/>
      </c>
      <c r="C23" s="223"/>
      <c r="D23" s="224"/>
      <c r="E23" s="225" t="str">
        <f>IF(A23:A40="","",IF(N$4="sys/",VLOOKUP(A23:A40,#REF!,7,FALSE),VLOOKUP(A23:A40,#REF!,7,FALSE)))</f>
        <v/>
      </c>
      <c r="F23" s="226"/>
      <c r="G23" s="118" t="str">
        <f>IF(A23:A40="","",IF(P$4="sys/",VLOOKUP(A23:A40,#REF!,9,FALSE),VLOOKUP(A23:A40,#REF!,9,FALSE)))</f>
        <v/>
      </c>
      <c r="H23" s="188"/>
      <c r="I23" s="118" t="str">
        <f t="shared" si="3"/>
        <v/>
      </c>
      <c r="J23" s="145" t="str">
        <f>IF(A23:A40="","",IF(N$4="sys/",VLOOKUP(A23:A40,#REF!,8,FALSE),VLOOKUP(A23:A40,#REF!,8,FALSE)))</f>
        <v/>
      </c>
      <c r="K23" s="188"/>
      <c r="L23" s="143">
        <f t="shared" si="0"/>
        <v>0</v>
      </c>
      <c r="M23" s="145" t="str">
        <f t="shared" si="1"/>
        <v/>
      </c>
      <c r="N23" s="145" t="str">
        <f t="shared" si="2"/>
        <v/>
      </c>
      <c r="O23" s="146" t="str">
        <f t="shared" si="4"/>
        <v/>
      </c>
      <c r="P23" s="49"/>
      <c r="Q23" s="189"/>
      <c r="R23" s="189"/>
      <c r="S23" s="73"/>
      <c r="T23" s="71"/>
      <c r="AI23" s="115" t="e">
        <f>IF(#REF!="","",#REF!)</f>
        <v>#REF!</v>
      </c>
    </row>
    <row r="24" spans="1:35" s="50" customFormat="1" ht="30" customHeight="1" thickBot="1" x14ac:dyDescent="0.35">
      <c r="A24" s="184"/>
      <c r="B24" s="222" t="str">
        <f>IF(A24:A41="","",IF(N$4="sys/",VLOOKUP(A24:A41,#REF!,4,FALSE),VLOOKUP(A24:A41,#REF!,4,FALSE)))</f>
        <v/>
      </c>
      <c r="C24" s="223"/>
      <c r="D24" s="224"/>
      <c r="E24" s="225" t="str">
        <f>IF(A24:A41="","",IF(N$4="sys/",VLOOKUP(A24:A41,#REF!,7,FALSE),VLOOKUP(A24:A41,#REF!,7,FALSE)))</f>
        <v/>
      </c>
      <c r="F24" s="226"/>
      <c r="G24" s="118" t="str">
        <f>IF(A24:A41="","",IF(P$4="sys/",VLOOKUP(A24:A41,#REF!,9,FALSE),VLOOKUP(A24:A41,#REF!,9,FALSE)))</f>
        <v/>
      </c>
      <c r="H24" s="188"/>
      <c r="I24" s="118" t="str">
        <f t="shared" si="3"/>
        <v/>
      </c>
      <c r="J24" s="145" t="str">
        <f>IF(A24:A41="","",IF(N$4="sys/",VLOOKUP(A24:A41,#REF!,8,FALSE),VLOOKUP(A24:A41,#REF!,8,FALSE)))</f>
        <v/>
      </c>
      <c r="K24" s="188"/>
      <c r="L24" s="143">
        <f t="shared" si="0"/>
        <v>0</v>
      </c>
      <c r="M24" s="145" t="str">
        <f t="shared" si="1"/>
        <v/>
      </c>
      <c r="N24" s="145" t="str">
        <f t="shared" si="2"/>
        <v/>
      </c>
      <c r="O24" s="146" t="str">
        <f t="shared" si="4"/>
        <v/>
      </c>
      <c r="P24" s="49"/>
      <c r="Q24" s="189"/>
      <c r="R24" s="189"/>
      <c r="S24" s="73"/>
      <c r="T24" s="71"/>
      <c r="AI24" s="115" t="e">
        <f>IF(#REF!="","",#REF!)</f>
        <v>#REF!</v>
      </c>
    </row>
    <row r="25" spans="1:35" s="50" customFormat="1" ht="30" customHeight="1" thickBot="1" x14ac:dyDescent="0.35">
      <c r="A25" s="184"/>
      <c r="B25" s="222" t="str">
        <f>IF(A25:A42="","",IF(N$4="sys/",VLOOKUP(A25:A42,#REF!,4,FALSE),VLOOKUP(A25:A42,#REF!,4,FALSE)))</f>
        <v/>
      </c>
      <c r="C25" s="223"/>
      <c r="D25" s="224"/>
      <c r="E25" s="225" t="str">
        <f>IF(A25:A42="","",IF(N$4="sys/",VLOOKUP(A25:A42,#REF!,7,FALSE),VLOOKUP(A25:A42,#REF!,7,FALSE)))</f>
        <v/>
      </c>
      <c r="F25" s="226"/>
      <c r="G25" s="118" t="str">
        <f>IF(A25:A42="","",IF(P$4="sys/",VLOOKUP(A25:A42,#REF!,9,FALSE),VLOOKUP(A25:A42,#REF!,9,FALSE)))</f>
        <v/>
      </c>
      <c r="H25" s="188"/>
      <c r="I25" s="118" t="str">
        <f t="shared" si="3"/>
        <v/>
      </c>
      <c r="J25" s="145" t="str">
        <f>IF(A25:A42="","",IF(N$4="sys/",VLOOKUP(A25:A42,#REF!,8,FALSE),VLOOKUP(A25:A42,#REF!,8,FALSE)))</f>
        <v/>
      </c>
      <c r="K25" s="188"/>
      <c r="L25" s="143">
        <f t="shared" si="0"/>
        <v>0</v>
      </c>
      <c r="M25" s="145" t="str">
        <f t="shared" si="1"/>
        <v/>
      </c>
      <c r="N25" s="145" t="str">
        <f t="shared" si="2"/>
        <v/>
      </c>
      <c r="O25" s="146" t="str">
        <f t="shared" si="4"/>
        <v/>
      </c>
      <c r="P25" s="49"/>
      <c r="Q25" s="189"/>
      <c r="R25" s="189"/>
      <c r="S25" s="73"/>
      <c r="U25" s="50">
        <f t="shared" ref="U25:U30" si="5">Q25*K25*T25</f>
        <v>0</v>
      </c>
      <c r="AI25" s="115" t="e">
        <f>IF(#REF!="","",#REF!)</f>
        <v>#REF!</v>
      </c>
    </row>
    <row r="26" spans="1:35" s="50" customFormat="1" ht="30.75" customHeight="1" thickBot="1" x14ac:dyDescent="0.35">
      <c r="A26" s="184"/>
      <c r="B26" s="222" t="str">
        <f>IF(A26:A43="","",IF(N$4="sys/",VLOOKUP(A26:A43,#REF!,4,FALSE),VLOOKUP(A26:A43,#REF!,4,FALSE)))</f>
        <v/>
      </c>
      <c r="C26" s="223"/>
      <c r="D26" s="224"/>
      <c r="E26" s="225" t="str">
        <f>IF(A26:A43="","",IF(N$4="sys/",VLOOKUP(A26:A43,#REF!,7,FALSE),VLOOKUP(A26:A43,#REF!,7,FALSE)))</f>
        <v/>
      </c>
      <c r="F26" s="226"/>
      <c r="G26" s="118" t="str">
        <f>IF(A26:A43="","",IF(P$4="sys/",VLOOKUP(A26:A43,#REF!,9,FALSE),VLOOKUP(A26:A43,#REF!,9,FALSE)))</f>
        <v/>
      </c>
      <c r="H26" s="188"/>
      <c r="I26" s="118" t="str">
        <f t="shared" si="3"/>
        <v/>
      </c>
      <c r="J26" s="145" t="str">
        <f>IF(A26:A43="","",IF(N$4="sys/",VLOOKUP(A26:A43,#REF!,8,FALSE),VLOOKUP(A26:A43,#REF!,8,FALSE)))</f>
        <v/>
      </c>
      <c r="K26" s="188"/>
      <c r="L26" s="143">
        <f t="shared" si="0"/>
        <v>0</v>
      </c>
      <c r="M26" s="145" t="str">
        <f t="shared" si="1"/>
        <v/>
      </c>
      <c r="N26" s="145" t="str">
        <f t="shared" si="2"/>
        <v/>
      </c>
      <c r="O26" s="146" t="str">
        <f t="shared" si="4"/>
        <v/>
      </c>
      <c r="P26" s="49"/>
      <c r="Q26" s="189"/>
      <c r="R26" s="189"/>
      <c r="S26" s="73"/>
      <c r="U26" s="50">
        <f t="shared" si="5"/>
        <v>0</v>
      </c>
      <c r="AI26" s="115" t="e">
        <f>IF(#REF!="","",#REF!)</f>
        <v>#REF!</v>
      </c>
    </row>
    <row r="27" spans="1:35" s="50" customFormat="1" ht="30" customHeight="1" thickBot="1" x14ac:dyDescent="0.35">
      <c r="A27" s="184"/>
      <c r="B27" s="222" t="str">
        <f>IF(A27:A44="","",IF(N$4="sys/",VLOOKUP(A27:A44,#REF!,4,FALSE),VLOOKUP(A27:A44,#REF!,4,FALSE)))</f>
        <v/>
      </c>
      <c r="C27" s="223"/>
      <c r="D27" s="224"/>
      <c r="E27" s="225" t="str">
        <f>IF(A27:A44="","",IF(N$4="sys/",VLOOKUP(A27:A44,#REF!,7,FALSE),VLOOKUP(A27:A44,#REF!,7,FALSE)))</f>
        <v/>
      </c>
      <c r="F27" s="226"/>
      <c r="G27" s="118" t="str">
        <f>IF(A27:A44="","",IF(P$4="sys/",VLOOKUP(A27:A44,#REF!,9,FALSE),VLOOKUP(A27:A44,#REF!,9,FALSE)))</f>
        <v/>
      </c>
      <c r="H27" s="188"/>
      <c r="I27" s="118" t="str">
        <f t="shared" si="3"/>
        <v/>
      </c>
      <c r="J27" s="145" t="str">
        <f>IF(A27:A44="","",IF(N$4="sys/",VLOOKUP(A27:A44,#REF!,8,FALSE),VLOOKUP(A27:A44,#REF!,8,FALSE)))</f>
        <v/>
      </c>
      <c r="K27" s="188"/>
      <c r="L27" s="143">
        <f t="shared" si="0"/>
        <v>0</v>
      </c>
      <c r="M27" s="145" t="str">
        <f t="shared" si="1"/>
        <v/>
      </c>
      <c r="N27" s="145" t="str">
        <f t="shared" si="2"/>
        <v/>
      </c>
      <c r="O27" s="146" t="str">
        <f t="shared" si="4"/>
        <v/>
      </c>
      <c r="P27" s="49"/>
      <c r="Q27" s="189"/>
      <c r="R27" s="189"/>
      <c r="S27" s="73"/>
      <c r="U27" s="50">
        <f t="shared" si="5"/>
        <v>0</v>
      </c>
      <c r="AI27" s="115" t="e">
        <f>IF(#REF!="","",#REF!)</f>
        <v>#REF!</v>
      </c>
    </row>
    <row r="28" spans="1:35" s="50" customFormat="1" ht="30" customHeight="1" thickBot="1" x14ac:dyDescent="0.35">
      <c r="A28" s="184"/>
      <c r="B28" s="222" t="str">
        <f>IF(A28:A45="","",IF(N$4="sys/",VLOOKUP(A28:A45,#REF!,4,FALSE),VLOOKUP(A28:A45,#REF!,4,FALSE)))</f>
        <v/>
      </c>
      <c r="C28" s="223"/>
      <c r="D28" s="224"/>
      <c r="E28" s="225" t="str">
        <f>IF(A28:A45="","",IF(N$4="sys/",VLOOKUP(A28:A45,#REF!,7,FALSE),VLOOKUP(A28:A45,#REF!,7,FALSE)))</f>
        <v/>
      </c>
      <c r="F28" s="226"/>
      <c r="G28" s="118" t="str">
        <f>IF(A28:A45="","",IF(P$4="sys/",VLOOKUP(A28:A45,#REF!,9,FALSE),VLOOKUP(A28:A45,#REF!,9,FALSE)))</f>
        <v/>
      </c>
      <c r="H28" s="188"/>
      <c r="I28" s="118" t="str">
        <f t="shared" si="3"/>
        <v/>
      </c>
      <c r="J28" s="145" t="str">
        <f>IF(A28:A45="","",IF(N$4="sys/",VLOOKUP(A28:A45,#REF!,8,FALSE),VLOOKUP(A28:A45,#REF!,8,FALSE)))</f>
        <v/>
      </c>
      <c r="K28" s="188"/>
      <c r="L28" s="143">
        <f t="shared" si="0"/>
        <v>0</v>
      </c>
      <c r="M28" s="145" t="str">
        <f t="shared" si="1"/>
        <v/>
      </c>
      <c r="N28" s="145" t="str">
        <f t="shared" si="2"/>
        <v/>
      </c>
      <c r="O28" s="146" t="str">
        <f t="shared" si="4"/>
        <v/>
      </c>
      <c r="P28" s="49"/>
      <c r="Q28" s="190"/>
      <c r="R28" s="190"/>
      <c r="S28" s="73"/>
      <c r="T28" s="63"/>
      <c r="U28" s="50">
        <f t="shared" si="5"/>
        <v>0</v>
      </c>
    </row>
    <row r="29" spans="1:35" s="50" customFormat="1" ht="30" customHeight="1" thickBot="1" x14ac:dyDescent="0.35">
      <c r="A29" s="184"/>
      <c r="B29" s="222" t="str">
        <f>IF(A29:A46="","",IF(N$4="sys/",VLOOKUP(A29:A46,#REF!,4,FALSE),VLOOKUP(A29:A46,#REF!,4,FALSE)))</f>
        <v/>
      </c>
      <c r="C29" s="223"/>
      <c r="D29" s="224"/>
      <c r="E29" s="225" t="str">
        <f>IF(A29:A46="","",IF(N$4="sys/",VLOOKUP(A29:A46,#REF!,7,FALSE),VLOOKUP(A29:A46,#REF!,7,FALSE)))</f>
        <v/>
      </c>
      <c r="F29" s="226"/>
      <c r="G29" s="118" t="str">
        <f>IF(A29:A46="","",IF(P$4="sys/",VLOOKUP(A29:A46,#REF!,9,FALSE),VLOOKUP(A29:A46,#REF!,9,FALSE)))</f>
        <v/>
      </c>
      <c r="H29" s="188"/>
      <c r="I29" s="118" t="str">
        <f t="shared" si="3"/>
        <v/>
      </c>
      <c r="J29" s="145" t="str">
        <f>IF(A29:A46="","",IF(N$4="sys/",VLOOKUP(A29:A46,#REF!,8,FALSE),VLOOKUP(A29:A46,#REF!,8,FALSE)))</f>
        <v/>
      </c>
      <c r="K29" s="188"/>
      <c r="L29" s="143">
        <f t="shared" si="0"/>
        <v>0</v>
      </c>
      <c r="M29" s="145" t="str">
        <f t="shared" si="1"/>
        <v/>
      </c>
      <c r="N29" s="145" t="str">
        <f t="shared" si="2"/>
        <v/>
      </c>
      <c r="O29" s="146" t="str">
        <f t="shared" si="4"/>
        <v/>
      </c>
      <c r="P29" s="49"/>
      <c r="Q29" s="190"/>
      <c r="R29" s="190"/>
      <c r="S29" s="73"/>
      <c r="T29" s="63"/>
      <c r="U29" s="50">
        <f t="shared" si="5"/>
        <v>0</v>
      </c>
    </row>
    <row r="30" spans="1:35" s="50" customFormat="1" ht="30" customHeight="1" thickBot="1" x14ac:dyDescent="0.35">
      <c r="A30" s="184"/>
      <c r="B30" s="222" t="str">
        <f>IF(A30:A47="","",IF(N$4="sys/",VLOOKUP(A30:A47,#REF!,4,FALSE),VLOOKUP(A30:A47,#REF!,4,FALSE)))</f>
        <v/>
      </c>
      <c r="C30" s="223"/>
      <c r="D30" s="224"/>
      <c r="E30" s="225" t="str">
        <f>IF(A30:A47="","",IF(N$4="sys/",VLOOKUP(A30:A47,#REF!,7,FALSE),VLOOKUP(A30:A47,#REF!,7,FALSE)))</f>
        <v/>
      </c>
      <c r="F30" s="226"/>
      <c r="G30" s="118" t="str">
        <f>IF(A30:A47="","",IF(P$4="sys/",VLOOKUP(A30:A47,#REF!,9,FALSE),VLOOKUP(A30:A47,#REF!,9,FALSE)))</f>
        <v/>
      </c>
      <c r="H30" s="188"/>
      <c r="I30" s="118" t="str">
        <f t="shared" si="3"/>
        <v/>
      </c>
      <c r="J30" s="145" t="str">
        <f>IF(A30:A47="","",IF(N$4="sys/",VLOOKUP(A30:A47,#REF!,8,FALSE),VLOOKUP(A30:A47,#REF!,8,FALSE)))</f>
        <v/>
      </c>
      <c r="K30" s="188"/>
      <c r="L30" s="143">
        <f t="shared" si="0"/>
        <v>0</v>
      </c>
      <c r="M30" s="145" t="str">
        <f t="shared" si="1"/>
        <v/>
      </c>
      <c r="N30" s="145" t="str">
        <f t="shared" si="2"/>
        <v/>
      </c>
      <c r="O30" s="146" t="str">
        <f t="shared" si="4"/>
        <v/>
      </c>
      <c r="P30" s="49"/>
      <c r="Q30" s="190"/>
      <c r="R30" s="190"/>
      <c r="S30" s="73"/>
      <c r="T30" s="63"/>
      <c r="U30" s="50">
        <f t="shared" si="5"/>
        <v>0</v>
      </c>
    </row>
    <row r="31" spans="1:35" s="50" customFormat="1" ht="30" customHeight="1" thickBot="1" x14ac:dyDescent="0.35">
      <c r="A31" s="184"/>
      <c r="B31" s="222" t="str">
        <f>IF(A31:A48="","",IF(N$4="sys/",VLOOKUP(A31:A48,#REF!,4,FALSE),VLOOKUP(A31:A48,#REF!,4,FALSE)))</f>
        <v/>
      </c>
      <c r="C31" s="223"/>
      <c r="D31" s="224"/>
      <c r="E31" s="225" t="str">
        <f>IF(A31:A48="","",IF(N$4="sys/",VLOOKUP(A31:A48,#REF!,7,FALSE),VLOOKUP(A31:A48,#REF!,7,FALSE)))</f>
        <v/>
      </c>
      <c r="F31" s="226"/>
      <c r="G31" s="118" t="str">
        <f>IF(A31:A48="","",IF(P$4="sys/",VLOOKUP(A31:A48,#REF!,9,FALSE),VLOOKUP(A31:A48,#REF!,9,FALSE)))</f>
        <v/>
      </c>
      <c r="H31" s="188"/>
      <c r="I31" s="118" t="str">
        <f t="shared" si="3"/>
        <v/>
      </c>
      <c r="J31" s="145" t="str">
        <f>IF(A31:A48="","",IF(N$4="sys/",VLOOKUP(A31:A48,#REF!,8,FALSE),VLOOKUP(A31:A48,#REF!,8,FALSE)))</f>
        <v/>
      </c>
      <c r="K31" s="188"/>
      <c r="L31" s="143">
        <f t="shared" si="0"/>
        <v>0</v>
      </c>
      <c r="M31" s="145" t="str">
        <f t="shared" si="1"/>
        <v/>
      </c>
      <c r="N31" s="145" t="str">
        <f t="shared" si="2"/>
        <v/>
      </c>
      <c r="O31" s="146" t="str">
        <f t="shared" si="4"/>
        <v/>
      </c>
      <c r="P31" s="49"/>
      <c r="Q31" s="190"/>
      <c r="R31" s="116"/>
      <c r="T31" s="63"/>
      <c r="U31" s="50">
        <f>SUM(U17:U30)</f>
        <v>0</v>
      </c>
    </row>
    <row r="32" spans="1:35" s="50" customFormat="1" ht="30" customHeight="1" thickBot="1" x14ac:dyDescent="0.35">
      <c r="A32" s="184"/>
      <c r="B32" s="222" t="str">
        <f>IF(A32:A49="","",IF(N$4="sys/",VLOOKUP(A32:A49,#REF!,4,FALSE),VLOOKUP(A32:A49,#REF!,4,FALSE)))</f>
        <v/>
      </c>
      <c r="C32" s="223"/>
      <c r="D32" s="224"/>
      <c r="E32" s="225" t="str">
        <f>IF(A32:A49="","",IF(N$4="sys/",VLOOKUP(A32:A49,#REF!,7,FALSE),VLOOKUP(A32:A49,#REF!,7,FALSE)))</f>
        <v/>
      </c>
      <c r="F32" s="226"/>
      <c r="G32" s="118" t="str">
        <f>IF(A32:A49="","",IF(P$4="sys/",VLOOKUP(A32:A49,#REF!,9,FALSE),VLOOKUP(A32:A49,#REF!,9,FALSE)))</f>
        <v/>
      </c>
      <c r="H32" s="188"/>
      <c r="I32" s="118" t="str">
        <f t="shared" si="3"/>
        <v/>
      </c>
      <c r="J32" s="145" t="str">
        <f>IF(A32:A49="","",IF(N$4="sys/",VLOOKUP(A32:A49,#REF!,8,FALSE),VLOOKUP(A32:A49,#REF!,8,FALSE)))</f>
        <v/>
      </c>
      <c r="K32" s="188"/>
      <c r="L32" s="143">
        <f t="shared" si="0"/>
        <v>0</v>
      </c>
      <c r="M32" s="145" t="str">
        <f t="shared" si="1"/>
        <v/>
      </c>
      <c r="N32" s="145" t="str">
        <f t="shared" si="2"/>
        <v/>
      </c>
      <c r="O32" s="146" t="str">
        <f t="shared" si="4"/>
        <v/>
      </c>
      <c r="P32" s="49"/>
      <c r="Q32" s="190"/>
      <c r="R32" s="116"/>
      <c r="T32" s="63"/>
      <c r="U32" s="191">
        <f>SUM(U17:U30)/O44</f>
        <v>0</v>
      </c>
    </row>
    <row r="33" spans="1:35" s="50" customFormat="1" ht="30" customHeight="1" thickBot="1" x14ac:dyDescent="0.35">
      <c r="A33" s="184"/>
      <c r="B33" s="222" t="str">
        <f>IF(A33:A50="","",IF(N$4="sys/",VLOOKUP(A33:A50,#REF!,4,FALSE),VLOOKUP(A33:A50,#REF!,4,FALSE)))</f>
        <v/>
      </c>
      <c r="C33" s="223"/>
      <c r="D33" s="224"/>
      <c r="E33" s="225" t="str">
        <f>IF(A33:A50="","",IF(N$4="sys/",VLOOKUP(A33:A50,#REF!,7,FALSE),VLOOKUP(A33:A50,#REF!,7,FALSE)))</f>
        <v/>
      </c>
      <c r="F33" s="226"/>
      <c r="G33" s="118" t="str">
        <f>IF(A33:A50="","",IF(P$4="sys/",VLOOKUP(A33:A50,#REF!,9,FALSE),VLOOKUP(A33:A50,#REF!,9,FALSE)))</f>
        <v/>
      </c>
      <c r="H33" s="188"/>
      <c r="I33" s="118" t="str">
        <f t="shared" si="3"/>
        <v/>
      </c>
      <c r="J33" s="145" t="str">
        <f>IF(A33:A50="","",IF(N$4="sys/",VLOOKUP(A33:A50,#REF!,8,FALSE),VLOOKUP(A33:A50,#REF!,8,FALSE)))</f>
        <v/>
      </c>
      <c r="K33" s="188"/>
      <c r="L33" s="143">
        <f t="shared" si="0"/>
        <v>0</v>
      </c>
      <c r="M33" s="145" t="str">
        <f t="shared" si="1"/>
        <v/>
      </c>
      <c r="N33" s="145" t="str">
        <f t="shared" si="2"/>
        <v/>
      </c>
      <c r="O33" s="146" t="str">
        <f t="shared" si="4"/>
        <v/>
      </c>
      <c r="P33" s="49"/>
      <c r="Q33" s="190"/>
      <c r="R33" s="116"/>
      <c r="T33" s="63"/>
      <c r="AI33"/>
    </row>
    <row r="34" spans="1:35" s="50" customFormat="1" ht="30" customHeight="1" thickBot="1" x14ac:dyDescent="0.35">
      <c r="A34" s="185"/>
      <c r="B34" s="222" t="str">
        <f>IF(A34:A51="","",IF(N$4="sys/",VLOOKUP(A34:A51,#REF!,4,FALSE),VLOOKUP(A34:A51,#REF!,4,FALSE)))</f>
        <v/>
      </c>
      <c r="C34" s="223"/>
      <c r="D34" s="224"/>
      <c r="E34" s="225" t="str">
        <f>IF(A34:A51="","",IF(N$4="sys/",VLOOKUP(A34:A51,#REF!,7,FALSE),VLOOKUP(A34:A51,#REF!,7,FALSE)))</f>
        <v/>
      </c>
      <c r="F34" s="226"/>
      <c r="G34" s="118" t="str">
        <f>IF(A34:A51="","",IF(P$4="sys/",VLOOKUP(A34:A51,#REF!,9,FALSE),VLOOKUP(A34:A51,#REF!,9,FALSE)))</f>
        <v/>
      </c>
      <c r="H34" s="188"/>
      <c r="I34" s="118" t="str">
        <f t="shared" si="3"/>
        <v/>
      </c>
      <c r="J34" s="145" t="str">
        <f>IF(A34:A51="","",IF(N$4="sys/",VLOOKUP(A34:A51,#REF!,8,FALSE),VLOOKUP(A34:A51,#REF!,8,FALSE)))</f>
        <v/>
      </c>
      <c r="K34" s="188"/>
      <c r="L34" s="143">
        <f t="shared" si="0"/>
        <v>0</v>
      </c>
      <c r="M34" s="145" t="str">
        <f t="shared" si="1"/>
        <v/>
      </c>
      <c r="N34" s="145" t="str">
        <f t="shared" si="2"/>
        <v/>
      </c>
      <c r="O34" s="146" t="str">
        <f t="shared" si="4"/>
        <v/>
      </c>
      <c r="P34" s="49"/>
      <c r="Q34" s="190"/>
      <c r="R34" s="116"/>
      <c r="T34" s="63"/>
      <c r="AI34"/>
    </row>
    <row r="35" spans="1:35" ht="17.25" thickBot="1" x14ac:dyDescent="0.35">
      <c r="A35" s="147" t="s">
        <v>5</v>
      </c>
      <c r="B35" s="148"/>
      <c r="C35" s="148"/>
      <c r="D35" s="148"/>
      <c r="E35" s="148"/>
      <c r="F35" s="148"/>
      <c r="G35" s="148"/>
      <c r="H35" s="148"/>
      <c r="I35" s="148">
        <f>AVERAGE(I17:I34)</f>
        <v>1.1666666666666667</v>
      </c>
      <c r="J35" s="148"/>
      <c r="K35" s="149">
        <f>SUM(K17:K34)</f>
        <v>11000</v>
      </c>
      <c r="L35" s="149"/>
      <c r="M35" s="149">
        <f>SUM(M17:M34)</f>
        <v>11720</v>
      </c>
      <c r="N35" s="149"/>
      <c r="O35" s="150">
        <f>SUM(O17:O34)</f>
        <v>595070</v>
      </c>
      <c r="Q35" t="s">
        <v>125</v>
      </c>
      <c r="R35" s="76"/>
      <c r="S35" s="76"/>
      <c r="T35" s="76"/>
    </row>
    <row r="36" spans="1:35" ht="21" x14ac:dyDescent="0.3">
      <c r="A36" s="227" t="s">
        <v>37</v>
      </c>
      <c r="B36" s="228"/>
      <c r="C36" s="229" t="s">
        <v>40</v>
      </c>
      <c r="D36" s="229"/>
      <c r="E36" s="152"/>
      <c r="F36" s="152"/>
      <c r="G36" s="152"/>
      <c r="H36" s="152"/>
      <c r="I36" s="152"/>
      <c r="J36" s="152"/>
      <c r="K36" s="152"/>
      <c r="L36" s="152"/>
      <c r="M36" s="230" t="s">
        <v>21</v>
      </c>
      <c r="N36" s="231"/>
      <c r="O36" s="153">
        <f>O35</f>
        <v>595070</v>
      </c>
      <c r="T36" s="46"/>
    </row>
    <row r="37" spans="1:35" ht="18.75" x14ac:dyDescent="0.3">
      <c r="A37" s="227" t="s">
        <v>38</v>
      </c>
      <c r="B37" s="228"/>
      <c r="C37" s="232" t="s">
        <v>145</v>
      </c>
      <c r="D37" s="232"/>
      <c r="E37" s="152"/>
      <c r="F37" s="152"/>
      <c r="G37" s="152"/>
      <c r="H37" s="152"/>
      <c r="I37" s="152"/>
      <c r="J37" s="152"/>
      <c r="K37" s="152"/>
      <c r="L37" s="152"/>
      <c r="M37" s="233" t="s">
        <v>22</v>
      </c>
      <c r="N37" s="234"/>
      <c r="O37" s="154">
        <v>6600</v>
      </c>
      <c r="T37" s="47"/>
    </row>
    <row r="38" spans="1:35" ht="16.5" customHeight="1" x14ac:dyDescent="0.3">
      <c r="A38" s="132" t="s">
        <v>46</v>
      </c>
      <c r="B38" s="152"/>
      <c r="C38" s="155" t="s">
        <v>28</v>
      </c>
      <c r="D38" s="152"/>
      <c r="E38" s="152"/>
      <c r="F38" s="152"/>
      <c r="G38" s="152"/>
      <c r="H38" s="152"/>
      <c r="I38" s="152"/>
      <c r="J38" s="152"/>
      <c r="K38" s="152"/>
      <c r="L38" s="152"/>
      <c r="M38" s="239" t="s">
        <v>26</v>
      </c>
      <c r="N38" s="240"/>
      <c r="O38" s="156">
        <v>0</v>
      </c>
      <c r="U38" s="69"/>
    </row>
    <row r="39" spans="1:35" ht="16.5" customHeight="1" x14ac:dyDescent="0.3">
      <c r="A39" s="157" t="str">
        <f>IF(B1=X1,Z3,AA3)</f>
        <v>PAYEE:SINOCHEM TIANJIN CO., LTD</v>
      </c>
      <c r="B39" s="152"/>
      <c r="C39" s="152"/>
      <c r="D39" s="152"/>
      <c r="E39" s="152"/>
      <c r="F39" s="152"/>
      <c r="G39" s="152"/>
      <c r="H39" s="152"/>
      <c r="I39" s="152"/>
      <c r="J39" s="152"/>
      <c r="K39" s="152"/>
      <c r="L39" s="152"/>
      <c r="M39" s="239" t="s">
        <v>27</v>
      </c>
      <c r="N39" s="240"/>
      <c r="O39" s="156">
        <v>0</v>
      </c>
    </row>
    <row r="40" spans="1:35" ht="16.5" customHeight="1" x14ac:dyDescent="0.3">
      <c r="A40" s="158" t="s">
        <v>13</v>
      </c>
      <c r="B40" s="152"/>
      <c r="C40" s="152"/>
      <c r="D40" s="152"/>
      <c r="E40" s="152"/>
      <c r="F40" s="152"/>
      <c r="G40" s="152"/>
      <c r="H40" s="152"/>
      <c r="I40" s="152"/>
      <c r="J40" s="152"/>
      <c r="K40" s="152"/>
      <c r="L40" s="152"/>
      <c r="M40" s="152"/>
      <c r="N40" s="152"/>
      <c r="O40" s="156">
        <v>0</v>
      </c>
    </row>
    <row r="41" spans="1:35" ht="16.5" customHeight="1" x14ac:dyDescent="0.3">
      <c r="A41" s="158" t="s">
        <v>14</v>
      </c>
      <c r="B41" s="152"/>
      <c r="C41" s="152"/>
      <c r="D41" s="152"/>
      <c r="E41" s="152"/>
      <c r="F41" s="152"/>
      <c r="G41" s="152"/>
      <c r="H41" s="152"/>
      <c r="I41" s="152"/>
      <c r="J41" s="152"/>
      <c r="K41" s="152"/>
      <c r="L41" s="152"/>
      <c r="M41" s="152"/>
      <c r="N41" s="152"/>
      <c r="O41" s="156">
        <v>0</v>
      </c>
    </row>
    <row r="42" spans="1:35" ht="16.5" customHeight="1" x14ac:dyDescent="0.3">
      <c r="A42" s="158" t="s">
        <v>15</v>
      </c>
      <c r="B42" s="152"/>
      <c r="C42" s="152"/>
      <c r="D42" s="152"/>
      <c r="E42" s="152"/>
      <c r="F42" s="152"/>
      <c r="G42" s="152"/>
      <c r="H42" s="152"/>
      <c r="I42" s="152"/>
      <c r="J42" s="152"/>
      <c r="K42" s="152"/>
      <c r="L42" s="152"/>
      <c r="M42" s="152"/>
      <c r="N42" s="152"/>
      <c r="O42" s="156">
        <v>0</v>
      </c>
    </row>
    <row r="43" spans="1:35" ht="16.5" customHeight="1" x14ac:dyDescent="0.3">
      <c r="A43" s="158" t="s">
        <v>16</v>
      </c>
      <c r="B43" s="152"/>
      <c r="C43" s="152"/>
      <c r="D43" s="152"/>
      <c r="E43" s="152"/>
      <c r="F43" s="152"/>
      <c r="G43" s="152"/>
      <c r="H43" s="152"/>
      <c r="I43" s="152"/>
      <c r="J43" s="152"/>
      <c r="K43" s="152"/>
      <c r="L43" s="152"/>
      <c r="M43" s="152"/>
      <c r="N43" s="152"/>
      <c r="O43" s="156">
        <v>0</v>
      </c>
      <c r="Q43" s="72">
        <v>426655.25</v>
      </c>
    </row>
    <row r="44" spans="1:35" ht="21.75" thickBot="1" x14ac:dyDescent="0.4">
      <c r="A44" s="158" t="str">
        <f>IF(B1=X1,Z2,AA2)</f>
        <v>ACCOUNT NUMBER:10002000096220000016</v>
      </c>
      <c r="B44" s="133"/>
      <c r="C44" s="133"/>
      <c r="D44" s="133"/>
      <c r="E44" s="133"/>
      <c r="F44" s="133"/>
      <c r="G44" s="133"/>
      <c r="H44" s="133"/>
      <c r="I44" s="133"/>
      <c r="J44" s="133"/>
      <c r="K44" s="133"/>
      <c r="L44" s="133"/>
      <c r="M44" s="241" t="s">
        <v>25</v>
      </c>
      <c r="N44" s="242"/>
      <c r="O44" s="159">
        <f>SUM(O36+O37)</f>
        <v>601670</v>
      </c>
    </row>
    <row r="45" spans="1:35" ht="18.75" thickBot="1" x14ac:dyDescent="0.35">
      <c r="A45" s="243" t="s">
        <v>83</v>
      </c>
      <c r="B45" s="244"/>
      <c r="C45" s="245" t="e">
        <f ca="1">SpellNumber(O44)</f>
        <v>#NAME?</v>
      </c>
      <c r="D45" s="245"/>
      <c r="E45" s="245"/>
      <c r="F45" s="245"/>
      <c r="G45" s="245"/>
      <c r="H45" s="245"/>
      <c r="I45" s="245"/>
      <c r="J45" s="245"/>
      <c r="K45" s="246"/>
      <c r="L45" s="160"/>
      <c r="M45" s="133"/>
      <c r="N45" s="133"/>
      <c r="O45" s="161" t="s">
        <v>51</v>
      </c>
    </row>
    <row r="46" spans="1:35" x14ac:dyDescent="0.3">
      <c r="A46" s="247"/>
      <c r="B46" s="248"/>
      <c r="C46" s="248"/>
      <c r="D46" s="248"/>
      <c r="E46" s="248"/>
      <c r="F46" s="248"/>
      <c r="G46" s="248"/>
      <c r="H46" s="248"/>
      <c r="I46" s="248"/>
      <c r="J46" s="248"/>
      <c r="K46" s="248"/>
      <c r="L46" s="162"/>
      <c r="M46" s="133"/>
      <c r="N46" s="133"/>
      <c r="O46" s="163"/>
    </row>
    <row r="47" spans="1:35" ht="16.5" x14ac:dyDescent="0.3">
      <c r="A47" s="164" t="s">
        <v>8</v>
      </c>
      <c r="B47" s="165"/>
      <c r="C47" s="165"/>
      <c r="D47" s="165"/>
      <c r="E47" s="165"/>
      <c r="F47" s="165"/>
      <c r="G47" s="165"/>
      <c r="H47" s="165"/>
      <c r="I47" s="165"/>
      <c r="J47" s="165"/>
      <c r="K47" s="165"/>
      <c r="L47" s="165"/>
      <c r="M47" s="165"/>
      <c r="N47" s="165"/>
      <c r="O47" s="166"/>
    </row>
    <row r="48" spans="1:35" x14ac:dyDescent="0.3">
      <c r="A48" s="167" t="s">
        <v>4</v>
      </c>
      <c r="B48" s="168"/>
      <c r="C48" s="168" t="s">
        <v>28</v>
      </c>
      <c r="D48" s="168"/>
      <c r="E48" s="168"/>
      <c r="F48" s="168"/>
      <c r="G48" s="133"/>
      <c r="H48" s="133"/>
      <c r="I48" s="133"/>
      <c r="J48" s="133"/>
      <c r="K48" s="133"/>
      <c r="L48" s="133"/>
      <c r="M48" s="133"/>
      <c r="N48" s="133"/>
      <c r="O48" s="163"/>
    </row>
    <row r="49" spans="1:21" x14ac:dyDescent="0.3">
      <c r="A49" s="167" t="s">
        <v>2</v>
      </c>
      <c r="B49" s="168"/>
      <c r="C49" s="168" t="s">
        <v>28</v>
      </c>
      <c r="D49" s="168"/>
      <c r="E49" s="168"/>
      <c r="F49" s="168"/>
      <c r="G49" s="133"/>
      <c r="H49" s="133"/>
      <c r="I49" s="133"/>
      <c r="J49" s="133"/>
      <c r="K49" s="133"/>
      <c r="L49" s="133"/>
      <c r="M49" s="133"/>
      <c r="N49" s="133"/>
      <c r="O49" s="163"/>
      <c r="U49" t="e">
        <f ca="1">SpellNumber(O44)</f>
        <v>#NAME?</v>
      </c>
    </row>
    <row r="50" spans="1:21" x14ac:dyDescent="0.3">
      <c r="A50" s="167" t="s">
        <v>3</v>
      </c>
      <c r="B50" s="168"/>
      <c r="C50" s="168" t="s">
        <v>29</v>
      </c>
      <c r="D50" s="168"/>
      <c r="E50" s="168"/>
      <c r="F50" s="168"/>
      <c r="G50" s="133"/>
      <c r="H50" s="133"/>
      <c r="I50" s="133"/>
      <c r="J50" s="133"/>
      <c r="K50" s="133"/>
      <c r="L50" s="133"/>
      <c r="M50" s="133"/>
      <c r="N50" s="133"/>
      <c r="O50" s="163"/>
    </row>
    <row r="51" spans="1:21" x14ac:dyDescent="0.3">
      <c r="A51" s="167"/>
      <c r="B51" s="168"/>
      <c r="C51" s="168"/>
      <c r="D51" s="168"/>
      <c r="E51" s="168"/>
      <c r="F51" s="168"/>
      <c r="G51" s="133"/>
      <c r="H51" s="133"/>
      <c r="I51" s="133"/>
      <c r="J51" s="133"/>
      <c r="K51" s="133"/>
      <c r="L51" s="133"/>
      <c r="M51" s="133"/>
      <c r="N51" s="133"/>
      <c r="O51" s="163"/>
      <c r="T51" t="e">
        <f ca="1">SpellNumber(O44)</f>
        <v>#NAME?</v>
      </c>
    </row>
    <row r="52" spans="1:21" x14ac:dyDescent="0.3">
      <c r="A52" s="169" t="s">
        <v>6</v>
      </c>
      <c r="B52" s="151"/>
      <c r="C52" s="229" t="s">
        <v>24</v>
      </c>
      <c r="D52" s="229"/>
      <c r="E52" s="229"/>
      <c r="F52" s="229"/>
      <c r="G52" s="170"/>
      <c r="H52" s="170"/>
      <c r="I52" s="170"/>
      <c r="J52" s="170"/>
      <c r="K52" s="170"/>
      <c r="L52" s="170"/>
      <c r="M52" s="170"/>
      <c r="N52" s="170"/>
      <c r="O52" s="163"/>
      <c r="T52" t="e">
        <f ca="1">SpellNumber(O44)</f>
        <v>#NAME?</v>
      </c>
    </row>
    <row r="53" spans="1:21" x14ac:dyDescent="0.3">
      <c r="A53" s="171"/>
      <c r="B53" s="170"/>
      <c r="C53" s="170"/>
      <c r="D53" s="170"/>
      <c r="E53" s="170"/>
      <c r="F53" s="170"/>
      <c r="G53" s="170"/>
      <c r="H53" s="170"/>
      <c r="I53" s="170"/>
      <c r="J53" s="170"/>
      <c r="K53" s="170"/>
      <c r="L53" s="170"/>
      <c r="M53" s="170"/>
      <c r="N53" s="170"/>
      <c r="O53" s="163"/>
      <c r="T53" t="e">
        <f ca="1">SpellNumber(O44)</f>
        <v>#NAME?</v>
      </c>
    </row>
    <row r="54" spans="1:21" ht="15" customHeight="1" x14ac:dyDescent="0.3">
      <c r="A54" s="235" t="s">
        <v>30</v>
      </c>
      <c r="B54" s="236"/>
      <c r="C54" s="236"/>
      <c r="D54" s="236"/>
      <c r="E54" s="236"/>
      <c r="F54" s="236"/>
      <c r="G54" s="236"/>
      <c r="H54" s="172"/>
      <c r="I54" s="172"/>
      <c r="J54" s="170"/>
      <c r="K54" s="170"/>
      <c r="L54" s="170"/>
      <c r="M54" s="170"/>
      <c r="N54" s="170"/>
      <c r="O54" s="163"/>
    </row>
    <row r="55" spans="1:21" x14ac:dyDescent="0.3">
      <c r="A55" s="235"/>
      <c r="B55" s="236"/>
      <c r="C55" s="236"/>
      <c r="D55" s="236"/>
      <c r="E55" s="236"/>
      <c r="F55" s="236"/>
      <c r="G55" s="236"/>
      <c r="H55" s="172"/>
      <c r="I55" s="172"/>
      <c r="J55" s="170"/>
      <c r="K55" s="170"/>
      <c r="L55" s="170"/>
      <c r="M55" s="170"/>
      <c r="N55" s="170"/>
      <c r="O55" s="163"/>
    </row>
    <row r="56" spans="1:21" x14ac:dyDescent="0.3">
      <c r="A56" s="235"/>
      <c r="B56" s="236"/>
      <c r="C56" s="236"/>
      <c r="D56" s="236"/>
      <c r="E56" s="236"/>
      <c r="F56" s="236"/>
      <c r="G56" s="236"/>
      <c r="H56" s="172"/>
      <c r="I56" s="172"/>
      <c r="J56" s="170"/>
      <c r="K56" s="170"/>
      <c r="L56" s="170"/>
      <c r="M56" s="170"/>
      <c r="N56" s="170"/>
      <c r="O56" s="163"/>
    </row>
    <row r="57" spans="1:21" x14ac:dyDescent="0.3">
      <c r="A57" s="173" t="s">
        <v>92</v>
      </c>
      <c r="B57" s="174"/>
      <c r="C57" s="170"/>
      <c r="D57" s="170"/>
      <c r="E57" s="170"/>
      <c r="F57" s="170"/>
      <c r="G57" s="170"/>
      <c r="H57" s="170"/>
      <c r="I57" s="170"/>
      <c r="J57" s="170"/>
      <c r="K57" s="170"/>
      <c r="L57" s="170"/>
      <c r="M57" s="170"/>
      <c r="N57" s="170"/>
      <c r="O57" s="163"/>
    </row>
    <row r="58" spans="1:21" ht="15.75" thickBot="1" x14ac:dyDescent="0.35">
      <c r="A58" s="237" t="str">
        <f>IF(B1=X1,Z1,AA1)</f>
        <v>SINOCHEM TIANJIN CO., LTD</v>
      </c>
      <c r="B58" s="238" t="e">
        <f>IF(C57=#REF!,#REF!,#REF!)</f>
        <v>#REF!</v>
      </c>
      <c r="C58" s="238" t="e">
        <f>IF(D57=#REF!,#REF!,#REF!)</f>
        <v>#REF!</v>
      </c>
      <c r="D58" s="238" t="e">
        <f>IF(E57=#REF!,#REF!,#REF!)</f>
        <v>#REF!</v>
      </c>
      <c r="E58" s="175"/>
      <c r="F58" s="176"/>
      <c r="G58" s="176"/>
      <c r="H58" s="176"/>
      <c r="I58" s="176"/>
      <c r="J58" s="176"/>
      <c r="K58" s="176"/>
      <c r="L58" s="176"/>
      <c r="M58" s="176"/>
      <c r="N58" s="176"/>
      <c r="O58" s="177"/>
    </row>
  </sheetData>
  <sheetProtection password="CC3D" sheet="1"/>
  <mergeCells count="68">
    <mergeCell ref="A58:D58"/>
    <mergeCell ref="M38:N38"/>
    <mergeCell ref="M39:N39"/>
    <mergeCell ref="M44:N44"/>
    <mergeCell ref="A45:B45"/>
    <mergeCell ref="C45:K45"/>
    <mergeCell ref="A46:K46"/>
    <mergeCell ref="A37:B37"/>
    <mergeCell ref="C37:D37"/>
    <mergeCell ref="M37:N37"/>
    <mergeCell ref="C52:F52"/>
    <mergeCell ref="A54:G56"/>
    <mergeCell ref="B34:D34"/>
    <mergeCell ref="E34:F34"/>
    <mergeCell ref="A36:B36"/>
    <mergeCell ref="C36:D36"/>
    <mergeCell ref="M36:N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6:D16"/>
    <mergeCell ref="E16:F16"/>
    <mergeCell ref="B17:D17"/>
    <mergeCell ref="E17:F17"/>
    <mergeCell ref="B18:D18"/>
    <mergeCell ref="E18:F18"/>
    <mergeCell ref="M12:N12"/>
    <mergeCell ref="M13:N13"/>
    <mergeCell ref="Q13:R14"/>
    <mergeCell ref="M14:N14"/>
    <mergeCell ref="M15:N15"/>
    <mergeCell ref="A10:D10"/>
    <mergeCell ref="M10:N10"/>
    <mergeCell ref="A11:B11"/>
    <mergeCell ref="C11:D11"/>
    <mergeCell ref="M11:N11"/>
    <mergeCell ref="B1:F1"/>
    <mergeCell ref="N2:O2"/>
    <mergeCell ref="N3:O3"/>
    <mergeCell ref="K5:M5"/>
    <mergeCell ref="N5:O5"/>
  </mergeCells>
  <dataValidations count="3">
    <dataValidation type="list" allowBlank="1" showInputMessage="1" showErrorMessage="1" sqref="A10:D10" xr:uid="{00000000-0002-0000-0500-000000000000}">
      <formula1>$AI$1:$AI$21</formula1>
    </dataValidation>
    <dataValidation type="list" allowBlank="1" showInputMessage="1" showErrorMessage="1" sqref="B1:F1" xr:uid="{00000000-0002-0000-0500-000001000000}">
      <formula1>$X$1:$Y$1</formula1>
    </dataValidation>
    <dataValidation type="list" allowBlank="1" showInputMessage="1" showErrorMessage="1" sqref="H17:H34" xr:uid="{00000000-0002-0000-0500-000002000000}">
      <formula1>$AF$11:$AF$12</formula1>
    </dataValidation>
  </dataValidations>
  <printOptions horizontalCentered="1"/>
  <pageMargins left="0.511811023622047" right="0.511811023622047" top="0.511811023622047" bottom="0.511811023622047" header="0.511811023622047" footer="0.23622047244094499"/>
  <pageSetup scale="6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499984740745262"/>
    <pageSetUpPr fitToPage="1"/>
  </sheetPr>
  <dimension ref="A1:I33"/>
  <sheetViews>
    <sheetView showGridLines="0" rightToLeft="1" tabSelected="1" zoomScale="70" zoomScaleNormal="70" workbookViewId="0">
      <selection activeCell="B14" sqref="B14"/>
    </sheetView>
  </sheetViews>
  <sheetFormatPr defaultRowHeight="15" x14ac:dyDescent="0.3"/>
  <cols>
    <col min="1" max="1" width="22.7109375" style="197" customWidth="1"/>
    <col min="2" max="2" width="18.7109375" style="201" customWidth="1"/>
    <col min="3" max="3" width="12.7109375" style="197" customWidth="1"/>
    <col min="4" max="4" width="15.7109375" style="197" customWidth="1"/>
    <col min="5" max="5" width="45.5703125" style="201" customWidth="1"/>
    <col min="6" max="6" width="14.42578125" style="201" customWidth="1"/>
    <col min="7" max="7" width="12.7109375" style="201" customWidth="1"/>
    <col min="8" max="8" width="15.7109375" style="197" customWidth="1"/>
    <col min="9" max="9" width="11.42578125" style="197" customWidth="1"/>
    <col min="10" max="14" width="9.140625" style="197"/>
    <col min="15" max="15" width="10.85546875" style="197" bestFit="1" customWidth="1"/>
    <col min="16" max="16384" width="9.140625" style="197"/>
  </cols>
  <sheetData>
    <row r="1" spans="1:9" ht="15" customHeight="1" thickBot="1" x14ac:dyDescent="0.35"/>
    <row r="2" spans="1:9" ht="38.1" customHeight="1" x14ac:dyDescent="0.3">
      <c r="A2" s="252" t="s">
        <v>148</v>
      </c>
      <c r="B2" s="253"/>
      <c r="C2" s="253"/>
      <c r="D2" s="253"/>
      <c r="E2" s="249" t="s">
        <v>152</v>
      </c>
      <c r="F2" s="249"/>
      <c r="G2" s="250"/>
      <c r="H2" s="251"/>
    </row>
    <row r="3" spans="1:9" ht="38.1" customHeight="1" x14ac:dyDescent="0.3">
      <c r="A3" s="257" t="s">
        <v>159</v>
      </c>
      <c r="B3" s="258"/>
      <c r="C3" s="258"/>
      <c r="D3" s="258"/>
      <c r="E3" s="261" t="s">
        <v>152</v>
      </c>
      <c r="F3" s="261"/>
      <c r="G3" s="262"/>
      <c r="H3" s="263"/>
    </row>
    <row r="4" spans="1:9" ht="38.1" customHeight="1" thickBot="1" x14ac:dyDescent="0.35">
      <c r="A4" s="259" t="s">
        <v>160</v>
      </c>
      <c r="B4" s="260"/>
      <c r="C4" s="260"/>
      <c r="D4" s="260"/>
      <c r="E4" s="264" t="s">
        <v>152</v>
      </c>
      <c r="F4" s="264"/>
      <c r="G4" s="265"/>
      <c r="H4" s="266"/>
    </row>
    <row r="5" spans="1:9" ht="70.5" customHeight="1" thickBot="1" x14ac:dyDescent="0.35">
      <c r="A5" s="268" t="s">
        <v>151</v>
      </c>
      <c r="B5" s="269"/>
      <c r="C5" s="269"/>
      <c r="D5" s="269"/>
      <c r="E5" s="269"/>
      <c r="F5" s="269"/>
      <c r="G5" s="269"/>
      <c r="H5" s="270"/>
      <c r="I5" s="198"/>
    </row>
    <row r="6" spans="1:9" s="200" customFormat="1" ht="50.1" customHeight="1" thickBot="1" x14ac:dyDescent="0.35">
      <c r="A6" s="202" t="s">
        <v>216</v>
      </c>
      <c r="B6" s="202" t="s">
        <v>217</v>
      </c>
      <c r="C6" s="202" t="s">
        <v>149</v>
      </c>
      <c r="D6" s="202" t="s">
        <v>165</v>
      </c>
      <c r="E6" s="202" t="s">
        <v>155</v>
      </c>
      <c r="F6" s="202" t="s">
        <v>163</v>
      </c>
      <c r="G6" s="202" t="s">
        <v>164</v>
      </c>
      <c r="H6" s="202" t="s">
        <v>154</v>
      </c>
      <c r="I6" s="199"/>
    </row>
    <row r="7" spans="1:9" s="200" customFormat="1" ht="24.95" customHeight="1" x14ac:dyDescent="0.3">
      <c r="A7" s="325">
        <f>Table22[[#This Row],[وزن (کیلوگرم)]]*Table22[[#This Row],[قیمت هر کیلوگرم CFR (درهم)]]</f>
        <v>0</v>
      </c>
      <c r="B7" s="326">
        <v>15.2</v>
      </c>
      <c r="C7" s="327">
        <v>0</v>
      </c>
      <c r="D7" s="328" t="s">
        <v>167</v>
      </c>
      <c r="E7" s="329" t="s">
        <v>199</v>
      </c>
      <c r="F7" s="330" t="s">
        <v>53</v>
      </c>
      <c r="G7" s="331">
        <v>5815</v>
      </c>
      <c r="H7" s="332" t="s">
        <v>166</v>
      </c>
      <c r="I7" s="199"/>
    </row>
    <row r="8" spans="1:9" s="200" customFormat="1" ht="24.95" customHeight="1" x14ac:dyDescent="0.3">
      <c r="A8" s="333">
        <f>Table22[[#This Row],[وزن (کیلوگرم)]]*Table22[[#This Row],[قیمت هر کیلوگرم CFR (درهم)]]</f>
        <v>0</v>
      </c>
      <c r="B8" s="314">
        <v>13.5</v>
      </c>
      <c r="C8" s="315">
        <v>0</v>
      </c>
      <c r="D8" s="316" t="s">
        <v>168</v>
      </c>
      <c r="E8" s="317" t="s">
        <v>200</v>
      </c>
      <c r="F8" s="318" t="s">
        <v>53</v>
      </c>
      <c r="G8" s="203">
        <v>5814</v>
      </c>
      <c r="H8" s="334" t="s">
        <v>166</v>
      </c>
      <c r="I8" s="199"/>
    </row>
    <row r="9" spans="1:9" s="200" customFormat="1" ht="24.95" customHeight="1" x14ac:dyDescent="0.3">
      <c r="A9" s="333">
        <f>Table22[[#This Row],[وزن (کیلوگرم)]]*Table22[[#This Row],[قیمت هر کیلوگرم CFR (درهم)]]</f>
        <v>0</v>
      </c>
      <c r="B9" s="314">
        <v>16.100000000000001</v>
      </c>
      <c r="C9" s="315">
        <v>0</v>
      </c>
      <c r="D9" s="316" t="s">
        <v>169</v>
      </c>
      <c r="E9" s="317" t="s">
        <v>201</v>
      </c>
      <c r="F9" s="318" t="s">
        <v>53</v>
      </c>
      <c r="G9" s="203">
        <v>5813</v>
      </c>
      <c r="H9" s="334" t="s">
        <v>166</v>
      </c>
      <c r="I9" s="199"/>
    </row>
    <row r="10" spans="1:9" s="200" customFormat="1" ht="24.95" customHeight="1" x14ac:dyDescent="0.3">
      <c r="A10" s="333">
        <f>Table22[[#This Row],[وزن (کیلوگرم)]]*Table22[[#This Row],[قیمت هر کیلوگرم CFR (درهم)]]</f>
        <v>0</v>
      </c>
      <c r="B10" s="314">
        <v>14.1</v>
      </c>
      <c r="C10" s="315">
        <v>0</v>
      </c>
      <c r="D10" s="316" t="s">
        <v>170</v>
      </c>
      <c r="E10" s="317" t="s">
        <v>202</v>
      </c>
      <c r="F10" s="318" t="s">
        <v>53</v>
      </c>
      <c r="G10" s="203">
        <v>5811</v>
      </c>
      <c r="H10" s="334" t="s">
        <v>166</v>
      </c>
      <c r="I10" s="199"/>
    </row>
    <row r="11" spans="1:9" s="200" customFormat="1" ht="24.95" customHeight="1" x14ac:dyDescent="0.3">
      <c r="A11" s="333">
        <f>Table22[[#This Row],[وزن (کیلوگرم)]]*Table22[[#This Row],[قیمت هر کیلوگرم CFR (درهم)]]</f>
        <v>0</v>
      </c>
      <c r="B11" s="314">
        <v>57</v>
      </c>
      <c r="C11" s="315">
        <v>0</v>
      </c>
      <c r="D11" s="316" t="s">
        <v>172</v>
      </c>
      <c r="E11" s="317" t="s">
        <v>171</v>
      </c>
      <c r="F11" s="318" t="s">
        <v>53</v>
      </c>
      <c r="G11" s="203">
        <v>5899</v>
      </c>
      <c r="H11" s="334" t="s">
        <v>166</v>
      </c>
      <c r="I11" s="199"/>
    </row>
    <row r="12" spans="1:9" s="200" customFormat="1" ht="24.95" customHeight="1" x14ac:dyDescent="0.3">
      <c r="A12" s="333">
        <f>Table22[[#This Row],[وزن (کیلوگرم)]]*Table22[[#This Row],[قیمت هر کیلوگرم CFR (درهم)]]</f>
        <v>0</v>
      </c>
      <c r="B12" s="314">
        <v>17</v>
      </c>
      <c r="C12" s="315">
        <v>0</v>
      </c>
      <c r="D12" s="316" t="s">
        <v>174</v>
      </c>
      <c r="E12" s="317" t="s">
        <v>173</v>
      </c>
      <c r="F12" s="318" t="s">
        <v>53</v>
      </c>
      <c r="G12" s="203">
        <v>3766</v>
      </c>
      <c r="H12" s="334" t="s">
        <v>166</v>
      </c>
      <c r="I12" s="199"/>
    </row>
    <row r="13" spans="1:9" s="200" customFormat="1" ht="24.95" customHeight="1" x14ac:dyDescent="0.3">
      <c r="A13" s="333">
        <f>Table22[[#This Row],[وزن (کیلوگرم)]]*Table22[[#This Row],[قیمت هر کیلوگرم CFR (درهم)]]</f>
        <v>0</v>
      </c>
      <c r="B13" s="314">
        <v>17.5</v>
      </c>
      <c r="C13" s="315">
        <v>0</v>
      </c>
      <c r="D13" s="316" t="s">
        <v>176</v>
      </c>
      <c r="E13" s="317" t="s">
        <v>175</v>
      </c>
      <c r="F13" s="318" t="s">
        <v>53</v>
      </c>
      <c r="G13" s="203">
        <v>3745</v>
      </c>
      <c r="H13" s="334" t="s">
        <v>166</v>
      </c>
      <c r="I13" s="199"/>
    </row>
    <row r="14" spans="1:9" s="200" customFormat="1" ht="24.95" customHeight="1" x14ac:dyDescent="0.3">
      <c r="A14" s="333">
        <f>Table22[[#This Row],[وزن (کیلوگرم)]]*Table22[[#This Row],[قیمت هر کیلوگرم CFR (درهم)]]</f>
        <v>0</v>
      </c>
      <c r="B14" s="314">
        <v>23.5</v>
      </c>
      <c r="C14" s="315">
        <v>0</v>
      </c>
      <c r="D14" s="316" t="s">
        <v>153</v>
      </c>
      <c r="E14" s="317" t="s">
        <v>177</v>
      </c>
      <c r="F14" s="318" t="s">
        <v>53</v>
      </c>
      <c r="G14" s="203">
        <v>6801</v>
      </c>
      <c r="H14" s="334" t="s">
        <v>166</v>
      </c>
      <c r="I14" s="199"/>
    </row>
    <row r="15" spans="1:9" s="200" customFormat="1" ht="24.95" customHeight="1" x14ac:dyDescent="0.3">
      <c r="A15" s="333">
        <f>Table22[[#This Row],[وزن (کیلوگرم)]]*Table22[[#This Row],[قیمت هر کیلوگرم CFR (درهم)]]</f>
        <v>0</v>
      </c>
      <c r="B15" s="314">
        <v>57</v>
      </c>
      <c r="C15" s="315">
        <v>0</v>
      </c>
      <c r="D15" s="316" t="s">
        <v>179</v>
      </c>
      <c r="E15" s="317" t="s">
        <v>178</v>
      </c>
      <c r="F15" s="318" t="s">
        <v>53</v>
      </c>
      <c r="G15" s="203">
        <v>5324</v>
      </c>
      <c r="H15" s="334" t="s">
        <v>166</v>
      </c>
      <c r="I15" s="199"/>
    </row>
    <row r="16" spans="1:9" s="200" customFormat="1" ht="24.95" customHeight="1" x14ac:dyDescent="0.3">
      <c r="A16" s="333">
        <f>Table22[[#This Row],[وزن (کیلوگرم)]]*Table22[[#This Row],[قیمت هر کیلوگرم CFR (درهم)]]</f>
        <v>0</v>
      </c>
      <c r="B16" s="314">
        <v>15.8</v>
      </c>
      <c r="C16" s="315">
        <v>0</v>
      </c>
      <c r="D16" s="316" t="s">
        <v>153</v>
      </c>
      <c r="E16" s="317" t="s">
        <v>181</v>
      </c>
      <c r="F16" s="318" t="s">
        <v>53</v>
      </c>
      <c r="G16" s="318" t="s">
        <v>180</v>
      </c>
      <c r="H16" s="334" t="s">
        <v>166</v>
      </c>
      <c r="I16" s="199"/>
    </row>
    <row r="17" spans="1:9" s="200" customFormat="1" ht="24.95" customHeight="1" x14ac:dyDescent="0.3">
      <c r="A17" s="333">
        <f>Table22[[#This Row],[وزن (کیلوگرم)]]*Table22[[#This Row],[قیمت هر کیلوگرم CFR (درهم)]]</f>
        <v>0</v>
      </c>
      <c r="B17" s="314">
        <v>15.8</v>
      </c>
      <c r="C17" s="315">
        <v>0</v>
      </c>
      <c r="D17" s="316" t="s">
        <v>153</v>
      </c>
      <c r="E17" s="317" t="s">
        <v>183</v>
      </c>
      <c r="F17" s="318" t="s">
        <v>53</v>
      </c>
      <c r="G17" s="318" t="s">
        <v>182</v>
      </c>
      <c r="H17" s="334" t="s">
        <v>166</v>
      </c>
      <c r="I17" s="199"/>
    </row>
    <row r="18" spans="1:9" s="200" customFormat="1" ht="24.95" customHeight="1" x14ac:dyDescent="0.3">
      <c r="A18" s="333">
        <f>Table22[[#This Row],[وزن (کیلوگرم)]]*Table22[[#This Row],[قیمت هر کیلوگرم CFR (درهم)]]</f>
        <v>0</v>
      </c>
      <c r="B18" s="314">
        <v>15.8</v>
      </c>
      <c r="C18" s="315">
        <v>0</v>
      </c>
      <c r="D18" s="316" t="s">
        <v>153</v>
      </c>
      <c r="E18" s="317" t="s">
        <v>185</v>
      </c>
      <c r="F18" s="318" t="s">
        <v>53</v>
      </c>
      <c r="G18" s="203" t="s">
        <v>184</v>
      </c>
      <c r="H18" s="334" t="s">
        <v>166</v>
      </c>
      <c r="I18" s="199"/>
    </row>
    <row r="19" spans="1:9" s="200" customFormat="1" ht="24.95" customHeight="1" x14ac:dyDescent="0.3">
      <c r="A19" s="333">
        <f>Table22[[#This Row],[وزن (کیلوگرم)]]*Table22[[#This Row],[قیمت هر کیلوگرم CFR (درهم)]]</f>
        <v>0</v>
      </c>
      <c r="B19" s="314">
        <v>18.5</v>
      </c>
      <c r="C19" s="315">
        <v>0</v>
      </c>
      <c r="D19" s="316" t="s">
        <v>162</v>
      </c>
      <c r="E19" s="317" t="s">
        <v>186</v>
      </c>
      <c r="F19" s="318" t="s">
        <v>53</v>
      </c>
      <c r="G19" s="203">
        <v>3786</v>
      </c>
      <c r="H19" s="334" t="s">
        <v>166</v>
      </c>
      <c r="I19" s="199"/>
    </row>
    <row r="20" spans="1:9" s="200" customFormat="1" ht="24.95" customHeight="1" x14ac:dyDescent="0.3">
      <c r="A20" s="333">
        <f>Table22[[#This Row],[وزن (کیلوگرم)]]*Table22[[#This Row],[قیمت هر کیلوگرم CFR (درهم)]]</f>
        <v>0</v>
      </c>
      <c r="B20" s="314">
        <v>15.3</v>
      </c>
      <c r="C20" s="315">
        <v>0</v>
      </c>
      <c r="D20" s="316" t="s">
        <v>189</v>
      </c>
      <c r="E20" s="317" t="s">
        <v>188</v>
      </c>
      <c r="F20" s="318" t="s">
        <v>53</v>
      </c>
      <c r="G20" s="203" t="s">
        <v>187</v>
      </c>
      <c r="H20" s="334" t="s">
        <v>166</v>
      </c>
      <c r="I20" s="199"/>
    </row>
    <row r="21" spans="1:9" s="200" customFormat="1" ht="24.95" customHeight="1" x14ac:dyDescent="0.3">
      <c r="A21" s="333">
        <f>Table22[[#This Row],[وزن (کیلوگرم)]]*Table22[[#This Row],[قیمت هر کیلوگرم CFR (درهم)]]</f>
        <v>0</v>
      </c>
      <c r="B21" s="314">
        <v>17.2</v>
      </c>
      <c r="C21" s="315">
        <v>0</v>
      </c>
      <c r="D21" s="316" t="s">
        <v>153</v>
      </c>
      <c r="E21" s="317" t="s">
        <v>191</v>
      </c>
      <c r="F21" s="318" t="s">
        <v>53</v>
      </c>
      <c r="G21" s="203" t="s">
        <v>190</v>
      </c>
      <c r="H21" s="334" t="s">
        <v>166</v>
      </c>
      <c r="I21" s="199"/>
    </row>
    <row r="22" spans="1:9" s="200" customFormat="1" ht="24.95" customHeight="1" x14ac:dyDescent="0.3">
      <c r="A22" s="333">
        <f>Table22[[#This Row],[وزن (کیلوگرم)]]*Table22[[#This Row],[قیمت هر کیلوگرم CFR (درهم)]]</f>
        <v>0</v>
      </c>
      <c r="B22" s="314">
        <v>19.100000000000001</v>
      </c>
      <c r="C22" s="315">
        <v>0</v>
      </c>
      <c r="D22" s="316" t="s">
        <v>153</v>
      </c>
      <c r="E22" s="317" t="s">
        <v>193</v>
      </c>
      <c r="F22" s="318" t="s">
        <v>53</v>
      </c>
      <c r="G22" s="203" t="s">
        <v>192</v>
      </c>
      <c r="H22" s="334" t="s">
        <v>166</v>
      </c>
      <c r="I22" s="199"/>
    </row>
    <row r="23" spans="1:9" s="200" customFormat="1" ht="24.95" customHeight="1" x14ac:dyDescent="0.3">
      <c r="A23" s="333">
        <f>Table22[[#This Row],[وزن (کیلوگرم)]]*Table22[[#This Row],[قیمت هر کیلوگرم CFR (درهم)]]</f>
        <v>0</v>
      </c>
      <c r="B23" s="314">
        <v>16.3</v>
      </c>
      <c r="C23" s="315">
        <v>0</v>
      </c>
      <c r="D23" s="316" t="s">
        <v>153</v>
      </c>
      <c r="E23" s="317" t="s">
        <v>195</v>
      </c>
      <c r="F23" s="318" t="s">
        <v>53</v>
      </c>
      <c r="G23" s="203" t="s">
        <v>194</v>
      </c>
      <c r="H23" s="334" t="s">
        <v>166</v>
      </c>
      <c r="I23" s="199"/>
    </row>
    <row r="24" spans="1:9" s="200" customFormat="1" ht="24.95" customHeight="1" x14ac:dyDescent="0.3">
      <c r="A24" s="333">
        <f>Table22[[#This Row],[وزن (کیلوگرم)]]*Table22[[#This Row],[قیمت هر کیلوگرم CFR (درهم)]]</f>
        <v>0</v>
      </c>
      <c r="B24" s="314">
        <v>26.7</v>
      </c>
      <c r="C24" s="315">
        <v>0</v>
      </c>
      <c r="D24" s="316" t="s">
        <v>198</v>
      </c>
      <c r="E24" s="317" t="s">
        <v>197</v>
      </c>
      <c r="F24" s="318" t="s">
        <v>53</v>
      </c>
      <c r="G24" s="203" t="s">
        <v>196</v>
      </c>
      <c r="H24" s="334" t="s">
        <v>166</v>
      </c>
      <c r="I24" s="199"/>
    </row>
    <row r="25" spans="1:9" s="200" customFormat="1" ht="24.95" customHeight="1" x14ac:dyDescent="0.3">
      <c r="A25" s="333">
        <f>Table22[[#This Row],[وزن (کیلوگرم)]]*Table22[[#This Row],[قیمت هر کیلوگرم CFR (درهم)]]</f>
        <v>0</v>
      </c>
      <c r="B25" s="314">
        <v>16.5</v>
      </c>
      <c r="C25" s="315">
        <v>0</v>
      </c>
      <c r="D25" s="316" t="s">
        <v>205</v>
      </c>
      <c r="E25" s="317" t="s">
        <v>204</v>
      </c>
      <c r="F25" s="318" t="s">
        <v>53</v>
      </c>
      <c r="G25" s="203">
        <v>11200</v>
      </c>
      <c r="H25" s="334" t="s">
        <v>166</v>
      </c>
      <c r="I25" s="199"/>
    </row>
    <row r="26" spans="1:9" s="200" customFormat="1" ht="24.95" customHeight="1" x14ac:dyDescent="0.3">
      <c r="A26" s="333">
        <f>Table22[[#This Row],[وزن (کیلوگرم)]]*Table22[[#This Row],[قیمت هر کیلوگرم CFR (درهم)]]</f>
        <v>0</v>
      </c>
      <c r="B26" s="314">
        <v>12.5</v>
      </c>
      <c r="C26" s="315">
        <v>0</v>
      </c>
      <c r="D26" s="316" t="s">
        <v>207</v>
      </c>
      <c r="E26" s="317" t="s">
        <v>206</v>
      </c>
      <c r="F26" s="318" t="s">
        <v>53</v>
      </c>
      <c r="G26" s="203">
        <v>3779</v>
      </c>
      <c r="H26" s="334" t="s">
        <v>166</v>
      </c>
      <c r="I26" s="199"/>
    </row>
    <row r="27" spans="1:9" s="200" customFormat="1" ht="24.95" customHeight="1" x14ac:dyDescent="0.3">
      <c r="A27" s="333">
        <f>Table22[[#This Row],[وزن (کیلوگرم)]]*Table22[[#This Row],[قیمت هر کیلوگرم CFR (درهم)]]</f>
        <v>0</v>
      </c>
      <c r="B27" s="314">
        <v>27.5</v>
      </c>
      <c r="C27" s="315">
        <v>0</v>
      </c>
      <c r="D27" s="316" t="s">
        <v>209</v>
      </c>
      <c r="E27" s="317" t="s">
        <v>208</v>
      </c>
      <c r="F27" s="318" t="s">
        <v>53</v>
      </c>
      <c r="G27" s="203">
        <v>2333</v>
      </c>
      <c r="H27" s="334" t="s">
        <v>166</v>
      </c>
      <c r="I27" s="199"/>
    </row>
    <row r="28" spans="1:9" s="200" customFormat="1" ht="24.95" customHeight="1" x14ac:dyDescent="0.3">
      <c r="A28" s="333">
        <f>Table22[[#This Row],[وزن (کیلوگرم)]]*Table22[[#This Row],[قیمت هر کیلوگرم CFR (درهم)]]</f>
        <v>0</v>
      </c>
      <c r="B28" s="314">
        <v>16.5</v>
      </c>
      <c r="C28" s="315">
        <v>0</v>
      </c>
      <c r="D28" s="316" t="s">
        <v>214</v>
      </c>
      <c r="E28" s="317" t="s">
        <v>210</v>
      </c>
      <c r="F28" s="318" t="s">
        <v>53</v>
      </c>
      <c r="G28" s="203" t="s">
        <v>212</v>
      </c>
      <c r="H28" s="334" t="s">
        <v>166</v>
      </c>
      <c r="I28" s="199"/>
    </row>
    <row r="29" spans="1:9" s="200" customFormat="1" ht="24.95" customHeight="1" thickBot="1" x14ac:dyDescent="0.35">
      <c r="A29" s="333">
        <f>Table22[[#This Row],[وزن (کیلوگرم)]]*Table22[[#This Row],[قیمت هر کیلوگرم CFR (درهم)]]</f>
        <v>0</v>
      </c>
      <c r="B29" s="335">
        <v>30</v>
      </c>
      <c r="C29" s="315">
        <v>0</v>
      </c>
      <c r="D29" s="336" t="s">
        <v>215</v>
      </c>
      <c r="E29" s="337" t="s">
        <v>211</v>
      </c>
      <c r="F29" s="318" t="s">
        <v>53</v>
      </c>
      <c r="G29" s="338" t="s">
        <v>213</v>
      </c>
      <c r="H29" s="334" t="s">
        <v>166</v>
      </c>
      <c r="I29" s="199"/>
    </row>
    <row r="30" spans="1:9" ht="45.75" customHeight="1" thickBot="1" x14ac:dyDescent="0.35">
      <c r="A30" s="319">
        <f>SUM(A7:A27)</f>
        <v>0</v>
      </c>
      <c r="B30" s="320" t="s">
        <v>203</v>
      </c>
      <c r="C30" s="321">
        <f>SUM(C7:C27)</f>
        <v>0</v>
      </c>
      <c r="D30" s="322" t="s">
        <v>150</v>
      </c>
      <c r="E30" s="323"/>
      <c r="F30" s="323"/>
      <c r="G30" s="323"/>
      <c r="H30" s="324" t="s">
        <v>157</v>
      </c>
    </row>
    <row r="31" spans="1:9" x14ac:dyDescent="0.3">
      <c r="A31" s="267" t="s">
        <v>161</v>
      </c>
      <c r="B31" s="267"/>
      <c r="C31" s="267"/>
      <c r="D31" s="267"/>
      <c r="E31" s="267"/>
      <c r="F31" s="267"/>
      <c r="G31" s="267"/>
      <c r="H31" s="267"/>
    </row>
    <row r="32" spans="1:9" ht="32.25" x14ac:dyDescent="0.3">
      <c r="A32" s="254" t="s">
        <v>156</v>
      </c>
      <c r="B32" s="254"/>
      <c r="C32" s="254"/>
      <c r="D32" s="254"/>
      <c r="E32" s="254"/>
      <c r="F32" s="254"/>
      <c r="G32" s="254"/>
      <c r="H32" s="254"/>
    </row>
    <row r="33" spans="1:8" ht="157.5" customHeight="1" x14ac:dyDescent="0.3">
      <c r="A33" s="255" t="s">
        <v>158</v>
      </c>
      <c r="B33" s="256"/>
      <c r="C33" s="256"/>
      <c r="D33" s="256"/>
      <c r="E33" s="256"/>
      <c r="F33" s="256"/>
      <c r="G33" s="256"/>
      <c r="H33" s="256"/>
    </row>
  </sheetData>
  <mergeCells count="10">
    <mergeCell ref="E2:H2"/>
    <mergeCell ref="A2:D2"/>
    <mergeCell ref="A32:H32"/>
    <mergeCell ref="A33:H33"/>
    <mergeCell ref="A3:D3"/>
    <mergeCell ref="A4:D4"/>
    <mergeCell ref="E3:H3"/>
    <mergeCell ref="E4:H4"/>
    <mergeCell ref="A31:H31"/>
    <mergeCell ref="A5:H5"/>
  </mergeCells>
  <phoneticPr fontId="36" type="noConversion"/>
  <printOptions horizontalCentered="1"/>
  <pageMargins left="0.25" right="0.25" top="0.75" bottom="0.75" header="0.3" footer="0.3"/>
  <pageSetup paperSize="9" scale="84" orientation="portrait"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5"/>
  <dimension ref="A1:AD58"/>
  <sheetViews>
    <sheetView showGridLines="0" zoomScale="93" zoomScaleNormal="93" workbookViewId="0">
      <selection activeCell="B1" sqref="B1:F1"/>
    </sheetView>
  </sheetViews>
  <sheetFormatPr defaultRowHeight="15" x14ac:dyDescent="0.3"/>
  <cols>
    <col min="1" max="3" width="11.42578125" customWidth="1"/>
    <col min="4" max="4" width="21.140625" customWidth="1"/>
    <col min="5" max="5" width="11.42578125" customWidth="1"/>
    <col min="6" max="6" width="17" customWidth="1"/>
    <col min="7" max="7" width="8.140625" bestFit="1" customWidth="1"/>
    <col min="8" max="8" width="8.140625" customWidth="1"/>
    <col min="9" max="9" width="9.42578125" hidden="1" customWidth="1"/>
    <col min="10" max="11" width="11.42578125" customWidth="1"/>
    <col min="12" max="12" width="11.42578125" hidden="1" customWidth="1"/>
    <col min="13" max="14" width="11.42578125" customWidth="1"/>
    <col min="15" max="15" width="16.85546875" customWidth="1"/>
    <col min="16" max="16" width="10.85546875" bestFit="1" customWidth="1"/>
    <col min="17" max="17" width="9.85546875" bestFit="1" customWidth="1"/>
    <col min="20" max="20" width="11.85546875" bestFit="1" customWidth="1"/>
    <col min="24" max="24" width="13.7109375" bestFit="1" customWidth="1"/>
  </cols>
  <sheetData>
    <row r="1" spans="1:27" ht="78" customHeight="1" x14ac:dyDescent="0.45">
      <c r="A1" s="8"/>
      <c r="B1" s="306" t="s">
        <v>108</v>
      </c>
      <c r="C1" s="306"/>
      <c r="D1" s="306"/>
      <c r="E1" s="306"/>
      <c r="F1" s="306"/>
      <c r="G1" s="104"/>
      <c r="H1" s="104"/>
      <c r="I1" s="104"/>
      <c r="J1" s="104"/>
      <c r="K1" s="104"/>
      <c r="L1" s="104"/>
      <c r="M1" s="104"/>
      <c r="N1" s="104"/>
      <c r="O1" s="30" t="s">
        <v>7</v>
      </c>
      <c r="X1" s="87" t="s">
        <v>74</v>
      </c>
      <c r="Y1" s="88" t="s">
        <v>108</v>
      </c>
      <c r="Z1" s="38" t="s">
        <v>69</v>
      </c>
      <c r="AA1" s="38" t="s">
        <v>109</v>
      </c>
    </row>
    <row r="2" spans="1:27" ht="16.5" x14ac:dyDescent="0.3">
      <c r="A2" s="38" t="str">
        <f>IF(B1=X1,Z1,AA1)</f>
        <v>SINOCHEM TIANJIN CO., LTD</v>
      </c>
      <c r="B2" s="39"/>
      <c r="C2" s="39"/>
      <c r="D2" s="9"/>
      <c r="E2" s="9"/>
      <c r="F2" s="9"/>
      <c r="G2" s="9"/>
      <c r="H2" s="9"/>
      <c r="I2" s="9"/>
      <c r="J2" s="9"/>
      <c r="K2" s="35"/>
      <c r="L2" s="35"/>
      <c r="M2" s="36" t="s">
        <v>45</v>
      </c>
      <c r="N2" s="307">
        <v>42217</v>
      </c>
      <c r="O2" s="308"/>
      <c r="Z2" s="89" t="s">
        <v>110</v>
      </c>
      <c r="AA2" s="89" t="s">
        <v>111</v>
      </c>
    </row>
    <row r="3" spans="1:27" ht="16.5" x14ac:dyDescent="0.3">
      <c r="A3" s="40" t="s">
        <v>11</v>
      </c>
      <c r="B3" s="41"/>
      <c r="C3" s="41"/>
      <c r="D3" s="10"/>
      <c r="E3" s="10"/>
      <c r="F3" s="10"/>
      <c r="G3" s="10"/>
      <c r="H3" s="10"/>
      <c r="I3" s="10"/>
      <c r="J3" s="10"/>
      <c r="K3" s="37"/>
      <c r="L3" s="37"/>
      <c r="M3" s="36" t="s">
        <v>44</v>
      </c>
      <c r="N3" s="307" t="s">
        <v>96</v>
      </c>
      <c r="O3" s="308"/>
      <c r="Z3" s="38" t="s">
        <v>112</v>
      </c>
      <c r="AA3" s="38" t="s">
        <v>113</v>
      </c>
    </row>
    <row r="4" spans="1:27" ht="15" customHeight="1" x14ac:dyDescent="0.3">
      <c r="A4" s="40" t="s">
        <v>12</v>
      </c>
      <c r="B4" s="41"/>
      <c r="C4" s="41"/>
      <c r="D4" s="9"/>
      <c r="E4" s="9"/>
      <c r="F4" s="9"/>
      <c r="G4" s="9"/>
      <c r="H4" s="9"/>
      <c r="I4" s="9"/>
      <c r="J4" s="9"/>
      <c r="K4" s="35"/>
      <c r="L4" s="35"/>
      <c r="M4" s="36" t="s">
        <v>47</v>
      </c>
      <c r="N4" s="79" t="s">
        <v>98</v>
      </c>
      <c r="O4" s="77" t="s">
        <v>142</v>
      </c>
    </row>
    <row r="5" spans="1:27" ht="16.5" x14ac:dyDescent="0.3">
      <c r="A5" s="40" t="s">
        <v>10</v>
      </c>
      <c r="B5" s="41"/>
      <c r="C5" s="41"/>
      <c r="D5" s="9"/>
      <c r="E5" s="9"/>
      <c r="F5" s="9"/>
      <c r="G5" s="9"/>
      <c r="H5" s="9"/>
      <c r="I5" s="9"/>
      <c r="J5" s="9"/>
      <c r="K5" s="309"/>
      <c r="L5" s="309"/>
      <c r="M5" s="309"/>
      <c r="N5" s="310"/>
      <c r="O5" s="311"/>
      <c r="R5" t="s">
        <v>105</v>
      </c>
    </row>
    <row r="6" spans="1:27" ht="16.5" x14ac:dyDescent="0.3">
      <c r="A6" s="40" t="s">
        <v>9</v>
      </c>
      <c r="B6" s="41"/>
      <c r="C6" s="41"/>
      <c r="D6" s="9"/>
      <c r="E6" s="9"/>
      <c r="F6" s="9"/>
      <c r="G6" s="9"/>
      <c r="H6" s="9"/>
      <c r="I6" s="9"/>
      <c r="J6" s="9"/>
      <c r="K6" s="9"/>
      <c r="L6" s="9"/>
      <c r="M6" s="9"/>
      <c r="N6" s="9"/>
      <c r="O6" s="11"/>
      <c r="R6" t="s">
        <v>106</v>
      </c>
    </row>
    <row r="7" spans="1:27" x14ac:dyDescent="0.3">
      <c r="A7" s="12"/>
      <c r="B7" s="1"/>
      <c r="C7" s="1"/>
      <c r="D7" s="9"/>
      <c r="E7" s="9"/>
      <c r="F7" s="9"/>
      <c r="G7" s="9"/>
      <c r="H7" s="9"/>
      <c r="I7" s="9"/>
      <c r="J7" s="9"/>
      <c r="K7" s="9"/>
      <c r="L7" s="9"/>
      <c r="M7" s="9"/>
      <c r="N7" s="9"/>
      <c r="O7" s="11"/>
      <c r="R7" t="s">
        <v>89</v>
      </c>
    </row>
    <row r="8" spans="1:27" x14ac:dyDescent="0.3">
      <c r="A8" s="12"/>
      <c r="B8" s="1"/>
      <c r="C8" s="1"/>
      <c r="D8" s="1"/>
      <c r="E8" s="1"/>
      <c r="F8" s="1"/>
      <c r="G8" s="1"/>
      <c r="H8" s="1"/>
      <c r="I8" s="1"/>
      <c r="J8" s="1"/>
      <c r="K8" s="1"/>
      <c r="L8" s="1"/>
      <c r="M8" s="1"/>
      <c r="N8" s="1"/>
      <c r="O8" s="11"/>
    </row>
    <row r="9" spans="1:27" ht="16.5" x14ac:dyDescent="0.3">
      <c r="A9" s="13" t="s">
        <v>1</v>
      </c>
      <c r="B9" s="3"/>
      <c r="C9" s="3"/>
      <c r="D9" s="3"/>
      <c r="E9" s="3"/>
      <c r="F9" s="3"/>
      <c r="G9" s="3"/>
      <c r="H9" s="3"/>
      <c r="I9" s="3"/>
      <c r="J9" s="3"/>
      <c r="K9" s="3"/>
      <c r="L9" s="3"/>
      <c r="M9" s="3"/>
      <c r="N9" s="3" t="s">
        <v>31</v>
      </c>
      <c r="O9" s="34"/>
    </row>
    <row r="10" spans="1:27" ht="16.5" x14ac:dyDescent="0.3">
      <c r="A10" s="297" t="s">
        <v>88</v>
      </c>
      <c r="B10" s="298"/>
      <c r="C10" s="298"/>
      <c r="D10" s="298"/>
      <c r="E10" s="9"/>
      <c r="F10" s="9"/>
      <c r="G10" s="9"/>
      <c r="H10" s="9"/>
      <c r="I10" s="9"/>
      <c r="J10" s="9"/>
      <c r="K10" s="9"/>
      <c r="L10" s="9"/>
      <c r="M10" s="299" t="s">
        <v>32</v>
      </c>
      <c r="N10" s="299"/>
      <c r="O10" s="59" t="s">
        <v>34</v>
      </c>
    </row>
    <row r="11" spans="1:27" ht="16.5" customHeight="1" x14ac:dyDescent="0.3">
      <c r="A11" s="297" t="s">
        <v>90</v>
      </c>
      <c r="B11" s="298"/>
      <c r="C11" s="298" t="e">
        <f>VLOOKUP(A10,#REF!,2,FALSE)</f>
        <v>#REF!</v>
      </c>
      <c r="D11" s="298"/>
      <c r="E11" s="9"/>
      <c r="F11" s="9"/>
      <c r="G11" s="9"/>
      <c r="H11" s="9"/>
      <c r="I11" s="9"/>
      <c r="J11" s="9"/>
      <c r="K11" s="9"/>
      <c r="L11" s="9"/>
      <c r="M11" s="299" t="s">
        <v>42</v>
      </c>
      <c r="N11" s="299"/>
      <c r="O11" s="59" t="s">
        <v>43</v>
      </c>
    </row>
    <row r="12" spans="1:27" ht="16.5" customHeight="1" x14ac:dyDescent="0.3">
      <c r="A12" s="40" t="e">
        <f>VLOOKUP(A10,#REF!,3,FALSE)</f>
        <v>#REF!</v>
      </c>
      <c r="B12" s="41"/>
      <c r="C12" s="41"/>
      <c r="D12" s="9"/>
      <c r="E12" s="9"/>
      <c r="F12" s="9"/>
      <c r="G12" s="9"/>
      <c r="H12" s="9"/>
      <c r="I12" s="9"/>
      <c r="J12" s="9"/>
      <c r="K12" s="9"/>
      <c r="L12" s="9"/>
      <c r="M12" s="299" t="s">
        <v>41</v>
      </c>
      <c r="N12" s="299"/>
      <c r="O12" s="61">
        <f xml:space="preserve"> M35</f>
        <v>25440</v>
      </c>
      <c r="Y12" t="s">
        <v>80</v>
      </c>
      <c r="AA12" t="s">
        <v>36</v>
      </c>
    </row>
    <row r="13" spans="1:27" ht="16.5" customHeight="1" x14ac:dyDescent="0.3">
      <c r="A13" s="40" t="s">
        <v>70</v>
      </c>
      <c r="B13" s="41" t="e">
        <f>VLOOKUP(A10,#REF!,4,FALSE)</f>
        <v>#REF!</v>
      </c>
      <c r="C13" s="41"/>
      <c r="D13" s="9"/>
      <c r="E13" s="9"/>
      <c r="F13" s="9"/>
      <c r="G13" s="9"/>
      <c r="H13" s="9"/>
      <c r="I13" s="9"/>
      <c r="J13" s="9"/>
      <c r="K13" s="9"/>
      <c r="L13" s="9"/>
      <c r="M13" s="299" t="s">
        <v>35</v>
      </c>
      <c r="N13" s="299"/>
      <c r="O13" s="60" t="str">
        <f>IF(I35=1,"Cartons",IF(I35=2,"Drums","Cartons &amp; Drums"))</f>
        <v>Cartons</v>
      </c>
      <c r="Q13" s="215" t="s">
        <v>77</v>
      </c>
      <c r="R13" s="215"/>
      <c r="S13" s="105"/>
      <c r="T13" s="64" t="s">
        <v>78</v>
      </c>
      <c r="U13" s="65" t="s">
        <v>76</v>
      </c>
      <c r="V13" t="s">
        <v>95</v>
      </c>
      <c r="X13" s="51" t="s">
        <v>75</v>
      </c>
      <c r="Y13" s="50">
        <v>19800</v>
      </c>
      <c r="AA13" t="s">
        <v>67</v>
      </c>
    </row>
    <row r="14" spans="1:27" ht="16.5" customHeight="1" x14ac:dyDescent="0.3">
      <c r="A14" s="42" t="s">
        <v>71</v>
      </c>
      <c r="B14" s="43" t="e">
        <f>VLOOKUP(A10,#REF!,5,FALSE)</f>
        <v>#REF!</v>
      </c>
      <c r="C14" s="41"/>
      <c r="D14" s="9"/>
      <c r="E14" s="9"/>
      <c r="F14" s="9"/>
      <c r="G14" s="9"/>
      <c r="H14" s="9"/>
      <c r="I14" s="9"/>
      <c r="J14" s="9"/>
      <c r="K14" s="9"/>
      <c r="L14" s="9"/>
      <c r="M14" s="299" t="s">
        <v>33</v>
      </c>
      <c r="N14" s="299"/>
      <c r="O14" s="60">
        <f>SUM(L17:L34)</f>
        <v>960</v>
      </c>
      <c r="Q14" s="215"/>
      <c r="R14" s="215"/>
      <c r="S14" s="105"/>
      <c r="T14" s="105">
        <v>1</v>
      </c>
      <c r="U14" s="66"/>
      <c r="V14">
        <v>1</v>
      </c>
      <c r="X14" s="51" t="s">
        <v>76</v>
      </c>
      <c r="Y14" s="50">
        <v>15000</v>
      </c>
      <c r="AA14" t="s">
        <v>91</v>
      </c>
    </row>
    <row r="15" spans="1:27" ht="12" customHeight="1" thickBot="1" x14ac:dyDescent="0.35">
      <c r="A15" s="12"/>
      <c r="B15" s="1"/>
      <c r="C15" s="43"/>
      <c r="D15" s="1"/>
      <c r="E15" s="1"/>
      <c r="F15" s="1"/>
      <c r="G15" s="1"/>
      <c r="H15" s="1"/>
      <c r="I15" s="1"/>
      <c r="J15" s="1"/>
      <c r="K15" s="1"/>
      <c r="L15" s="1"/>
      <c r="M15" s="299"/>
      <c r="N15" s="299"/>
      <c r="O15" s="59"/>
      <c r="AA15" t="s">
        <v>89</v>
      </c>
    </row>
    <row r="16" spans="1:27" ht="48.75" customHeight="1" thickBot="1" x14ac:dyDescent="0.35">
      <c r="A16" s="94" t="s">
        <v>17</v>
      </c>
      <c r="B16" s="300" t="s">
        <v>0</v>
      </c>
      <c r="C16" s="300"/>
      <c r="D16" s="300"/>
      <c r="E16" s="300" t="s">
        <v>39</v>
      </c>
      <c r="F16" s="300"/>
      <c r="G16" s="95" t="s">
        <v>18</v>
      </c>
      <c r="H16" s="95" t="s">
        <v>104</v>
      </c>
      <c r="I16" s="95"/>
      <c r="J16" s="113" t="s">
        <v>19</v>
      </c>
      <c r="K16" s="113" t="s">
        <v>20</v>
      </c>
      <c r="L16" s="95" t="s">
        <v>126</v>
      </c>
      <c r="M16" s="95" t="s">
        <v>23</v>
      </c>
      <c r="N16" s="95" t="s">
        <v>49</v>
      </c>
      <c r="O16" s="96" t="s">
        <v>50</v>
      </c>
      <c r="Q16" s="32" t="s">
        <v>72</v>
      </c>
      <c r="R16" s="32" t="s">
        <v>81</v>
      </c>
      <c r="S16" s="32" t="s">
        <v>94</v>
      </c>
      <c r="T16" s="32" t="s">
        <v>93</v>
      </c>
      <c r="U16" s="32" t="s">
        <v>73</v>
      </c>
    </row>
    <row r="17" spans="1:30" s="50" customFormat="1" ht="30" customHeight="1" thickBot="1" x14ac:dyDescent="0.35">
      <c r="A17" s="91">
        <v>2992</v>
      </c>
      <c r="B17" s="301" t="e">
        <f>IF(A17:A28="","",IF(N$4="sys/",VLOOKUP(A17:A28,#REF!,4,FALSE),VLOOKUP(A17:A28,#REF!,4,FALSE)))</f>
        <v>#REF!</v>
      </c>
      <c r="C17" s="302"/>
      <c r="D17" s="303"/>
      <c r="E17" s="304" t="e">
        <f>IF(A17:A28="","",IF(N$4="sys/",VLOOKUP(A17:A28,#REF!,7,FALSE),VLOOKUP(A17:A28,#REF!,7,FALSE)))</f>
        <v>#REF!</v>
      </c>
      <c r="F17" s="305"/>
      <c r="G17" s="92" t="e">
        <f>IF(A17:A28="","",IF(P$4="sys/",VLOOKUP(A17:A28,#REF!,9,FALSE),VLOOKUP(A17:A28,#REF!,9,FALSE)))</f>
        <v>#REF!</v>
      </c>
      <c r="H17" s="106" t="s">
        <v>105</v>
      </c>
      <c r="I17" s="92">
        <f>IF(H17="","",IF(H17="carton",1,2))</f>
        <v>1</v>
      </c>
      <c r="J17" s="62" t="e">
        <f>IF(A17:A28="","",IF(N$4="sys/",VLOOKUP(A17:A28,#REF!,8,FALSE),VLOOKUP(A17:A28,#REF!,8,FALSE)))</f>
        <v>#REF!</v>
      </c>
      <c r="K17" s="53">
        <v>24000</v>
      </c>
      <c r="L17" s="101">
        <f t="shared" ref="L17:L34" si="0">IF(A17=142,K17/10,IF(A17=8064,K17/20,K17/25))</f>
        <v>960</v>
      </c>
      <c r="M17" s="62">
        <f t="shared" ref="M17:M34" si="1">IF(A17="","",IF(H17="carton",(IF(A17=8064,(K17*21.5/20),(K17*26.5/25))),IF(H17="drum",IF(A17=142,(K17*13/10),K17*28/25))))</f>
        <v>25440</v>
      </c>
      <c r="N17" s="108" t="str">
        <f t="shared" ref="N17:N34" si="2">IF(Q17="","",FIXED(Q17-(O$37/K$35),2,1))</f>
        <v>34.68</v>
      </c>
      <c r="O17" s="93">
        <f t="shared" ref="O17:O34" si="3">IF(K17="","",K17*N17)</f>
        <v>832320</v>
      </c>
      <c r="P17" s="49"/>
      <c r="Q17" s="112">
        <v>35.5</v>
      </c>
      <c r="R17" s="48">
        <v>89.8</v>
      </c>
      <c r="S17" s="73">
        <v>0.03</v>
      </c>
      <c r="T17" s="63">
        <f>(Q17-R17)/R17+S17</f>
        <v>-0.57467706013363029</v>
      </c>
      <c r="U17" s="50">
        <f>Q17*K17*T17</f>
        <v>-489624.85523385298</v>
      </c>
      <c r="V17" s="50">
        <f>Q17*K17</f>
        <v>852000</v>
      </c>
      <c r="Z17" s="109">
        <v>2141</v>
      </c>
      <c r="AA17" s="110" t="s">
        <v>54</v>
      </c>
      <c r="AB17" s="111">
        <v>3500</v>
      </c>
      <c r="AC17" s="112">
        <v>99.76</v>
      </c>
      <c r="AD17" s="110" t="s">
        <v>127</v>
      </c>
    </row>
    <row r="18" spans="1:30" s="50" customFormat="1" ht="30" customHeight="1" thickBot="1" x14ac:dyDescent="0.35">
      <c r="A18" s="68"/>
      <c r="B18" s="290" t="str">
        <f>IF(A18:A35="","",IF(N$4="sys/",VLOOKUP(A18:A35,#REF!,4,FALSE),VLOOKUP(A18:A35,#REF!,4,FALSE)))</f>
        <v/>
      </c>
      <c r="C18" s="291"/>
      <c r="D18" s="292"/>
      <c r="E18" s="293" t="str">
        <f>IF(A18:A35="","",IF(N$4="sys/",VLOOKUP(A18:A35,#REF!,7,FALSE),VLOOKUP(A18:A35,#REF!,7,FALSE)))</f>
        <v/>
      </c>
      <c r="F18" s="294"/>
      <c r="G18" s="90" t="str">
        <f>IF(A18:A35="","",IF(P$4="sys/",VLOOKUP(A18:A35,#REF!,9,FALSE),VLOOKUP(A18:A35,#REF!,9,FALSE)))</f>
        <v/>
      </c>
      <c r="H18" s="107"/>
      <c r="I18" s="90" t="str">
        <f t="shared" ref="I18:I34" si="4">IF(H18="","",IF(H18="carton",1,2))</f>
        <v/>
      </c>
      <c r="J18" s="53" t="str">
        <f>IF(A18:A35="","",IF(N$4="sys/",VLOOKUP(A18:A35,#REF!,8,FALSE),VLOOKUP(A18:A35,#REF!,8,FALSE)))</f>
        <v/>
      </c>
      <c r="K18" s="53"/>
      <c r="L18" s="101">
        <f t="shared" si="0"/>
        <v>0</v>
      </c>
      <c r="M18" s="53" t="str">
        <f t="shared" si="1"/>
        <v/>
      </c>
      <c r="N18" s="53" t="str">
        <f t="shared" si="2"/>
        <v/>
      </c>
      <c r="O18" s="74" t="str">
        <f t="shared" si="3"/>
        <v/>
      </c>
      <c r="P18" s="49"/>
      <c r="Q18" s="112"/>
      <c r="R18" s="48">
        <v>47.7</v>
      </c>
      <c r="S18" s="73">
        <v>0.03</v>
      </c>
      <c r="T18" s="63">
        <f t="shared" ref="T18:T23" si="5">(Q18-R18)/R18+S18</f>
        <v>-0.97</v>
      </c>
      <c r="U18" s="50">
        <f t="shared" ref="U18:U23" si="6">Q18*K18*T18</f>
        <v>0</v>
      </c>
      <c r="V18" s="50">
        <f t="shared" ref="V18:V24" si="7">Q18*K18</f>
        <v>0</v>
      </c>
      <c r="Z18" s="109">
        <v>2551</v>
      </c>
      <c r="AA18" s="110" t="s">
        <v>57</v>
      </c>
      <c r="AB18" s="111">
        <v>3500</v>
      </c>
      <c r="AC18" s="112">
        <v>112.2</v>
      </c>
      <c r="AD18" s="110" t="s">
        <v>128</v>
      </c>
    </row>
    <row r="19" spans="1:30" s="50" customFormat="1" ht="30" customHeight="1" thickBot="1" x14ac:dyDescent="0.35">
      <c r="A19" s="68"/>
      <c r="B19" s="290" t="str">
        <f>IF(A19:A36="","",IF(N$4="sys/",VLOOKUP(A19:A36,#REF!,4,FALSE),VLOOKUP(A19:A36,#REF!,4,FALSE)))</f>
        <v/>
      </c>
      <c r="C19" s="291"/>
      <c r="D19" s="292"/>
      <c r="E19" s="293" t="str">
        <f>IF(A19:A36="","",IF(N$4="sys/",VLOOKUP(A19:A36,#REF!,7,FALSE),VLOOKUP(A19:A36,#REF!,7,FALSE)))</f>
        <v/>
      </c>
      <c r="F19" s="294"/>
      <c r="G19" s="90" t="str">
        <f>IF(A19:A36="","",IF(P$4="sys/",VLOOKUP(A19:A36,#REF!,9,FALSE),VLOOKUP(A19:A36,#REF!,9,FALSE)))</f>
        <v/>
      </c>
      <c r="H19" s="107"/>
      <c r="I19" s="90" t="str">
        <f t="shared" si="4"/>
        <v/>
      </c>
      <c r="J19" s="53" t="str">
        <f>IF(A19:A36="","",IF(N$4="sys/",VLOOKUP(A19:A36,#REF!,8,FALSE),VLOOKUP(A19:A36,#REF!,8,FALSE)))</f>
        <v/>
      </c>
      <c r="K19" s="53"/>
      <c r="L19" s="101">
        <f t="shared" si="0"/>
        <v>0</v>
      </c>
      <c r="M19" s="53" t="str">
        <f t="shared" si="1"/>
        <v/>
      </c>
      <c r="N19" s="53" t="str">
        <f t="shared" si="2"/>
        <v/>
      </c>
      <c r="O19" s="74" t="str">
        <f t="shared" si="3"/>
        <v/>
      </c>
      <c r="P19" s="49"/>
      <c r="Q19" s="112"/>
      <c r="R19" s="48">
        <v>46.08</v>
      </c>
      <c r="S19" s="73">
        <v>0.03</v>
      </c>
      <c r="T19" s="63">
        <f t="shared" si="5"/>
        <v>-0.97</v>
      </c>
      <c r="U19" s="50">
        <f t="shared" si="6"/>
        <v>0</v>
      </c>
      <c r="V19" s="50">
        <f t="shared" si="7"/>
        <v>0</v>
      </c>
      <c r="X19" s="51"/>
      <c r="Z19" s="109">
        <v>2351</v>
      </c>
      <c r="AA19" s="110" t="s">
        <v>56</v>
      </c>
      <c r="AB19" s="111">
        <v>1500</v>
      </c>
      <c r="AC19" s="112">
        <v>91.6</v>
      </c>
      <c r="AD19" s="110" t="s">
        <v>129</v>
      </c>
    </row>
    <row r="20" spans="1:30" s="50" customFormat="1" ht="30" customHeight="1" thickBot="1" x14ac:dyDescent="0.35">
      <c r="A20" s="68"/>
      <c r="B20" s="290" t="str">
        <f>IF(A20:A37="","",IF(N$4="sys/",VLOOKUP(A20:A37,#REF!,4,FALSE),VLOOKUP(A20:A37,#REF!,4,FALSE)))</f>
        <v/>
      </c>
      <c r="C20" s="291"/>
      <c r="D20" s="292"/>
      <c r="E20" s="293" t="str">
        <f>IF(A20:A37="","",IF(N$4="sys/",VLOOKUP(A20:A37,#REF!,7,FALSE),VLOOKUP(A20:A37,#REF!,7,FALSE)))</f>
        <v/>
      </c>
      <c r="F20" s="294"/>
      <c r="G20" s="90" t="str">
        <f>IF(A20:A37="","",IF(P$4="sys/",VLOOKUP(A20:A37,#REF!,9,FALSE),VLOOKUP(A20:A37,#REF!,9,FALSE)))</f>
        <v/>
      </c>
      <c r="H20" s="107"/>
      <c r="I20" s="90" t="str">
        <f t="shared" si="4"/>
        <v/>
      </c>
      <c r="J20" s="53" t="str">
        <f>IF(A20:A37="","",IF(N$4="sys/",VLOOKUP(A20:A37,#REF!,8,FALSE),VLOOKUP(A20:A37,#REF!,8,FALSE)))</f>
        <v/>
      </c>
      <c r="K20" s="53"/>
      <c r="L20" s="101">
        <f t="shared" si="0"/>
        <v>0</v>
      </c>
      <c r="M20" s="53" t="str">
        <f t="shared" si="1"/>
        <v/>
      </c>
      <c r="N20" s="53" t="str">
        <f t="shared" si="2"/>
        <v/>
      </c>
      <c r="O20" s="74" t="str">
        <f t="shared" si="3"/>
        <v/>
      </c>
      <c r="P20" s="49"/>
      <c r="Q20" s="112"/>
      <c r="R20" s="48">
        <v>34</v>
      </c>
      <c r="S20" s="73">
        <v>0.03</v>
      </c>
      <c r="T20" s="63">
        <f t="shared" si="5"/>
        <v>-0.97</v>
      </c>
      <c r="U20" s="50">
        <f t="shared" si="6"/>
        <v>0</v>
      </c>
      <c r="V20" s="50">
        <f t="shared" si="7"/>
        <v>0</v>
      </c>
      <c r="Z20" s="109">
        <v>2993</v>
      </c>
      <c r="AA20" s="110" t="s">
        <v>63</v>
      </c>
      <c r="AB20" s="111">
        <v>2000</v>
      </c>
      <c r="AC20" s="112">
        <v>43.86</v>
      </c>
      <c r="AD20" s="110" t="s">
        <v>130</v>
      </c>
    </row>
    <row r="21" spans="1:30" s="50" customFormat="1" ht="30" customHeight="1" thickBot="1" x14ac:dyDescent="0.35">
      <c r="A21" s="68"/>
      <c r="B21" s="290" t="str">
        <f>IF(A21:A38="","",IF(N$4="sys/",VLOOKUP(A21:A38,#REF!,4,FALSE),VLOOKUP(A21:A38,#REF!,4,FALSE)))</f>
        <v/>
      </c>
      <c r="C21" s="291"/>
      <c r="D21" s="292"/>
      <c r="E21" s="293" t="str">
        <f>IF(A21:A38="","",IF(N$4="sys/",VLOOKUP(A21:A38,#REF!,7,FALSE),VLOOKUP(A21:A38,#REF!,7,FALSE)))</f>
        <v/>
      </c>
      <c r="F21" s="294"/>
      <c r="G21" s="90" t="str">
        <f>IF(A21:A38="","",IF(P$4="sys/",VLOOKUP(A21:A38,#REF!,9,FALSE),VLOOKUP(A21:A38,#REF!,9,FALSE)))</f>
        <v/>
      </c>
      <c r="H21" s="107"/>
      <c r="I21" s="90" t="str">
        <f t="shared" si="4"/>
        <v/>
      </c>
      <c r="J21" s="53" t="str">
        <f>IF(A21:A38="","",IF(N$4="sys/",VLOOKUP(A21:A38,#REF!,8,FALSE),VLOOKUP(A21:A38,#REF!,8,FALSE)))</f>
        <v/>
      </c>
      <c r="K21" s="53"/>
      <c r="L21" s="101">
        <f t="shared" si="0"/>
        <v>0</v>
      </c>
      <c r="M21" s="53" t="str">
        <f t="shared" si="1"/>
        <v/>
      </c>
      <c r="N21" s="53" t="str">
        <f t="shared" si="2"/>
        <v/>
      </c>
      <c r="O21" s="74" t="str">
        <f t="shared" si="3"/>
        <v/>
      </c>
      <c r="P21" s="49"/>
      <c r="Q21" s="112"/>
      <c r="R21" s="48">
        <v>157</v>
      </c>
      <c r="S21" s="73">
        <v>0.03</v>
      </c>
      <c r="T21" s="63">
        <f t="shared" si="5"/>
        <v>-0.97</v>
      </c>
      <c r="U21" s="50">
        <f t="shared" si="6"/>
        <v>0</v>
      </c>
      <c r="V21" s="50">
        <f t="shared" si="7"/>
        <v>0</v>
      </c>
      <c r="X21" s="51"/>
      <c r="Z21" s="109">
        <v>15016</v>
      </c>
      <c r="AA21" s="110" t="s">
        <v>52</v>
      </c>
      <c r="AB21" s="111">
        <v>3500</v>
      </c>
      <c r="AC21" s="112">
        <v>48.65</v>
      </c>
      <c r="AD21" s="110" t="s">
        <v>131</v>
      </c>
    </row>
    <row r="22" spans="1:30" s="50" customFormat="1" ht="30" customHeight="1" thickBot="1" x14ac:dyDescent="0.35">
      <c r="A22" s="68"/>
      <c r="B22" s="290" t="str">
        <f>IF(A22:A39="","",IF(N$4="sys/",VLOOKUP(A22:A39,#REF!,4,FALSE),VLOOKUP(A22:A39,#REF!,4,FALSE)))</f>
        <v/>
      </c>
      <c r="C22" s="291"/>
      <c r="D22" s="292"/>
      <c r="E22" s="293" t="str">
        <f>IF(A22:A39="","",IF(N$4="sys/",VLOOKUP(A22:A39,#REF!,7,FALSE),VLOOKUP(A22:A39,#REF!,7,FALSE)))</f>
        <v/>
      </c>
      <c r="F22" s="294"/>
      <c r="G22" s="90" t="str">
        <f>IF(A22:A39="","",IF(P$4="sys/",VLOOKUP(A22:A39,#REF!,9,FALSE),VLOOKUP(A22:A39,#REF!,9,FALSE)))</f>
        <v/>
      </c>
      <c r="H22" s="107"/>
      <c r="I22" s="90" t="str">
        <f t="shared" si="4"/>
        <v/>
      </c>
      <c r="J22" s="53" t="str">
        <f>IF(A22:A39="","",IF(N$4="sys/",VLOOKUP(A22:A39,#REF!,8,FALSE),VLOOKUP(A22:A39,#REF!,8,FALSE)))</f>
        <v/>
      </c>
      <c r="K22" s="53"/>
      <c r="L22" s="101">
        <f t="shared" si="0"/>
        <v>0</v>
      </c>
      <c r="M22" s="53" t="str">
        <f t="shared" si="1"/>
        <v/>
      </c>
      <c r="N22" s="53" t="str">
        <f t="shared" si="2"/>
        <v/>
      </c>
      <c r="O22" s="74" t="str">
        <f t="shared" si="3"/>
        <v/>
      </c>
      <c r="P22" s="49"/>
      <c r="Q22" s="112"/>
      <c r="R22" s="48">
        <v>54</v>
      </c>
      <c r="S22" s="73">
        <v>0.03</v>
      </c>
      <c r="T22" s="63">
        <f t="shared" si="5"/>
        <v>-0.97</v>
      </c>
      <c r="U22" s="50">
        <f t="shared" si="6"/>
        <v>0</v>
      </c>
      <c r="V22" s="50">
        <f t="shared" si="7"/>
        <v>0</v>
      </c>
      <c r="X22" s="51">
        <f>O44*5.5%</f>
        <v>46866.6</v>
      </c>
      <c r="Z22" s="109">
        <v>2572</v>
      </c>
      <c r="AA22" s="110" t="s">
        <v>61</v>
      </c>
      <c r="AB22" s="111">
        <v>2000</v>
      </c>
      <c r="AC22" s="112">
        <v>47</v>
      </c>
      <c r="AD22" s="110" t="s">
        <v>132</v>
      </c>
    </row>
    <row r="23" spans="1:30" s="50" customFormat="1" ht="30" customHeight="1" thickBot="1" x14ac:dyDescent="0.35">
      <c r="A23" s="68"/>
      <c r="B23" s="290" t="str">
        <f>IF(A23:A40="","",IF(N$4="sys/",VLOOKUP(A23:A40,#REF!,4,FALSE),VLOOKUP(A23:A40,#REF!,4,FALSE)))</f>
        <v/>
      </c>
      <c r="C23" s="291"/>
      <c r="D23" s="292"/>
      <c r="E23" s="293" t="str">
        <f>IF(A23:A40="","",IF(N$4="sys/",VLOOKUP(A23:A40,#REF!,7,FALSE),VLOOKUP(A23:A40,#REF!,7,FALSE)))</f>
        <v/>
      </c>
      <c r="F23" s="294"/>
      <c r="G23" s="90" t="str">
        <f>IF(A23:A40="","",IF(P$4="sys/",VLOOKUP(A23:A40,#REF!,9,FALSE),VLOOKUP(A23:A40,#REF!,9,FALSE)))</f>
        <v/>
      </c>
      <c r="H23" s="107"/>
      <c r="I23" s="90" t="str">
        <f t="shared" si="4"/>
        <v/>
      </c>
      <c r="J23" s="53" t="str">
        <f>IF(A23:A40="","",IF(N$4="sys/",VLOOKUP(A23:A40,#REF!,8,FALSE),VLOOKUP(A23:A40,#REF!,8,FALSE)))</f>
        <v/>
      </c>
      <c r="K23" s="53"/>
      <c r="L23" s="101">
        <f t="shared" si="0"/>
        <v>0</v>
      </c>
      <c r="M23" s="53" t="str">
        <f t="shared" si="1"/>
        <v/>
      </c>
      <c r="N23" s="53" t="str">
        <f t="shared" si="2"/>
        <v/>
      </c>
      <c r="O23" s="74" t="str">
        <f t="shared" si="3"/>
        <v/>
      </c>
      <c r="P23" s="49"/>
      <c r="Q23" s="112"/>
      <c r="R23" s="50">
        <v>51.5</v>
      </c>
      <c r="S23" s="73">
        <v>0.03</v>
      </c>
      <c r="T23" s="63">
        <f t="shared" si="5"/>
        <v>-0.97</v>
      </c>
      <c r="U23" s="50">
        <f t="shared" si="6"/>
        <v>0</v>
      </c>
      <c r="V23" s="50">
        <f t="shared" si="7"/>
        <v>0</v>
      </c>
      <c r="X23" s="51" t="e">
        <f>U35-X22</f>
        <v>#DIV/0!</v>
      </c>
      <c r="Z23" s="109">
        <v>2811</v>
      </c>
      <c r="AA23" s="110" t="s">
        <v>55</v>
      </c>
      <c r="AB23" s="111">
        <v>4500</v>
      </c>
      <c r="AC23" s="112">
        <v>34.68</v>
      </c>
      <c r="AD23" s="110" t="s">
        <v>133</v>
      </c>
    </row>
    <row r="24" spans="1:30" s="50" customFormat="1" ht="30" customHeight="1" thickBot="1" x14ac:dyDescent="0.35">
      <c r="A24" s="68"/>
      <c r="B24" s="290" t="str">
        <f>IF(A24:A41="","",IF(N$4="sys/",VLOOKUP(A24:A41,#REF!,4,FALSE),VLOOKUP(A24:A41,#REF!,4,FALSE)))</f>
        <v/>
      </c>
      <c r="C24" s="291"/>
      <c r="D24" s="292"/>
      <c r="E24" s="293" t="str">
        <f>IF(A24:A41="","",IF(N$4="sys/",VLOOKUP(A24:A41,#REF!,7,FALSE),VLOOKUP(A24:A41,#REF!,7,FALSE)))</f>
        <v/>
      </c>
      <c r="F24" s="294"/>
      <c r="G24" s="90" t="str">
        <f>IF(A24:A41="","",IF(P$4="sys/",VLOOKUP(A24:A41,#REF!,9,FALSE),VLOOKUP(A24:A41,#REF!,9,FALSE)))</f>
        <v/>
      </c>
      <c r="H24" s="107"/>
      <c r="I24" s="90" t="str">
        <f t="shared" si="4"/>
        <v/>
      </c>
      <c r="J24" s="53" t="str">
        <f>IF(A24:A41="","",IF(N$4="sys/",VLOOKUP(A24:A41,#REF!,8,FALSE),VLOOKUP(A24:A41,#REF!,8,FALSE)))</f>
        <v/>
      </c>
      <c r="K24" s="53"/>
      <c r="L24" s="101">
        <f t="shared" si="0"/>
        <v>0</v>
      </c>
      <c r="M24" s="53" t="str">
        <f t="shared" si="1"/>
        <v/>
      </c>
      <c r="N24" s="53" t="str">
        <f t="shared" si="2"/>
        <v/>
      </c>
      <c r="O24" s="74" t="str">
        <f t="shared" si="3"/>
        <v/>
      </c>
      <c r="P24" s="49"/>
      <c r="Q24" s="112"/>
      <c r="S24" s="73"/>
      <c r="T24" s="63"/>
      <c r="V24" s="50">
        <f t="shared" si="7"/>
        <v>0</v>
      </c>
      <c r="X24" s="51"/>
      <c r="Z24" s="109">
        <v>2652</v>
      </c>
      <c r="AA24" s="110" t="s">
        <v>60</v>
      </c>
      <c r="AB24" s="111">
        <v>3000</v>
      </c>
      <c r="AC24" s="112">
        <v>160.13999999999999</v>
      </c>
      <c r="AD24" s="110" t="s">
        <v>134</v>
      </c>
    </row>
    <row r="25" spans="1:30" s="50" customFormat="1" ht="30" customHeight="1" thickBot="1" x14ac:dyDescent="0.35">
      <c r="A25" s="68"/>
      <c r="B25" s="290" t="str">
        <f>IF(A25:A42="","",IF(N$4="sys/",VLOOKUP(A25:A42,#REF!,4,FALSE),VLOOKUP(A25:A42,#REF!,4,FALSE)))</f>
        <v/>
      </c>
      <c r="C25" s="291"/>
      <c r="D25" s="292"/>
      <c r="E25" s="293" t="str">
        <f>IF(A25:A42="","",IF(N$4="sys/",VLOOKUP(A25:A42,#REF!,7,FALSE),VLOOKUP(A25:A42,#REF!,7,FALSE)))</f>
        <v/>
      </c>
      <c r="F25" s="294"/>
      <c r="G25" s="90" t="str">
        <f>IF(A25:A42="","",IF(P$4="sys/",VLOOKUP(A25:A42,#REF!,9,FALSE),VLOOKUP(A25:A42,#REF!,9,FALSE)))</f>
        <v/>
      </c>
      <c r="H25" s="107"/>
      <c r="I25" s="90" t="str">
        <f t="shared" si="4"/>
        <v/>
      </c>
      <c r="J25" s="53" t="str">
        <f>IF(A25:A42="","",IF(N$4="sys/",VLOOKUP(A25:A42,#REF!,8,FALSE),VLOOKUP(A25:A42,#REF!,8,FALSE)))</f>
        <v/>
      </c>
      <c r="K25" s="53"/>
      <c r="L25" s="101">
        <f t="shared" si="0"/>
        <v>0</v>
      </c>
      <c r="M25" s="53" t="str">
        <f t="shared" si="1"/>
        <v/>
      </c>
      <c r="N25" s="53" t="str">
        <f t="shared" si="2"/>
        <v/>
      </c>
      <c r="O25" s="74" t="str">
        <f t="shared" si="3"/>
        <v/>
      </c>
      <c r="P25" s="49"/>
      <c r="Q25" s="112"/>
      <c r="S25" s="73"/>
      <c r="T25" s="63" t="e">
        <f>(Q24-R25)/R25+S25</f>
        <v>#DIV/0!</v>
      </c>
      <c r="U25" s="50" t="e">
        <f>Q24*K24*T25</f>
        <v>#DIV/0!</v>
      </c>
      <c r="V25" s="50">
        <f>Q24*K24</f>
        <v>0</v>
      </c>
      <c r="X25" s="51"/>
      <c r="Z25" s="109">
        <v>2472</v>
      </c>
      <c r="AA25" s="110" t="s">
        <v>59</v>
      </c>
      <c r="AB25" s="111">
        <v>1000</v>
      </c>
      <c r="AC25" s="112">
        <v>56.61</v>
      </c>
      <c r="AD25" s="110" t="s">
        <v>135</v>
      </c>
    </row>
    <row r="26" spans="1:30" s="50" customFormat="1" ht="30.75" customHeight="1" thickBot="1" x14ac:dyDescent="0.35">
      <c r="A26" s="68"/>
      <c r="B26" s="290" t="str">
        <f>IF(A26:A43="","",IF(N$4="sys/",VLOOKUP(A26:A43,#REF!,4,FALSE),VLOOKUP(A26:A43,#REF!,4,FALSE)))</f>
        <v/>
      </c>
      <c r="C26" s="291"/>
      <c r="D26" s="292"/>
      <c r="E26" s="293" t="str">
        <f>IF(A26:A43="","",IF(N$4="sys/",VLOOKUP(A26:A43,#REF!,7,FALSE),VLOOKUP(A26:A43,#REF!,7,FALSE)))</f>
        <v/>
      </c>
      <c r="F26" s="294"/>
      <c r="G26" s="90" t="str">
        <f>IF(A26:A43="","",IF(P$4="sys/",VLOOKUP(A26:A43,#REF!,9,FALSE),VLOOKUP(A26:A43,#REF!,9,FALSE)))</f>
        <v/>
      </c>
      <c r="H26" s="107"/>
      <c r="I26" s="90" t="str">
        <f t="shared" si="4"/>
        <v/>
      </c>
      <c r="J26" s="53" t="str">
        <f>IF(A26:A43="","",IF(N$4="sys/",VLOOKUP(A26:A43,#REF!,8,FALSE),VLOOKUP(A26:A43,#REF!,8,FALSE)))</f>
        <v/>
      </c>
      <c r="K26" s="53"/>
      <c r="L26" s="101">
        <f t="shared" si="0"/>
        <v>0</v>
      </c>
      <c r="M26" s="53" t="str">
        <f t="shared" si="1"/>
        <v/>
      </c>
      <c r="N26" s="53" t="str">
        <f t="shared" si="2"/>
        <v/>
      </c>
      <c r="O26" s="74" t="str">
        <f t="shared" si="3"/>
        <v/>
      </c>
      <c r="P26" s="49"/>
      <c r="Q26" s="112"/>
      <c r="S26" s="73"/>
      <c r="T26" s="63" t="e">
        <f>(Q25-R26)/R26+S26</f>
        <v>#DIV/0!</v>
      </c>
      <c r="U26" s="50" t="e">
        <f>Q25*K25*T26</f>
        <v>#DIV/0!</v>
      </c>
      <c r="X26" s="51"/>
      <c r="Z26" s="109">
        <v>2392</v>
      </c>
      <c r="AA26" s="110" t="s">
        <v>58</v>
      </c>
      <c r="AB26" s="111">
        <v>3500</v>
      </c>
      <c r="AC26" s="112">
        <v>55.08</v>
      </c>
      <c r="AD26" s="110" t="s">
        <v>136</v>
      </c>
    </row>
    <row r="27" spans="1:30" s="50" customFormat="1" ht="30" customHeight="1" thickBot="1" x14ac:dyDescent="0.35">
      <c r="A27" s="68"/>
      <c r="B27" s="290" t="str">
        <f>IF(A27:A44="","",IF(N$4="sys/",VLOOKUP(A27:A44,#REF!,4,FALSE),VLOOKUP(A27:A44,#REF!,4,FALSE)))</f>
        <v/>
      </c>
      <c r="C27" s="291"/>
      <c r="D27" s="292"/>
      <c r="E27" s="293" t="str">
        <f>IF(A27:A44="","",IF(N$4="sys/",VLOOKUP(A27:A44,#REF!,7,FALSE),VLOOKUP(A27:A44,#REF!,7,FALSE)))</f>
        <v/>
      </c>
      <c r="F27" s="294"/>
      <c r="G27" s="90" t="str">
        <f>IF(A27:A44="","",IF(P$4="sys/",VLOOKUP(A27:A44,#REF!,9,FALSE),VLOOKUP(A27:A44,#REF!,9,FALSE)))</f>
        <v/>
      </c>
      <c r="H27" s="107"/>
      <c r="I27" s="90" t="str">
        <f t="shared" si="4"/>
        <v/>
      </c>
      <c r="J27" s="53" t="str">
        <f>IF(A27:A44="","",IF(N$4="sys/",VLOOKUP(A27:A44,#REF!,8,FALSE),VLOOKUP(A27:A44,#REF!,8,FALSE)))</f>
        <v/>
      </c>
      <c r="K27" s="53"/>
      <c r="L27" s="101">
        <f t="shared" si="0"/>
        <v>0</v>
      </c>
      <c r="M27" s="53" t="str">
        <f t="shared" si="1"/>
        <v/>
      </c>
      <c r="N27" s="53" t="str">
        <f t="shared" si="2"/>
        <v/>
      </c>
      <c r="O27" s="74" t="str">
        <f t="shared" si="3"/>
        <v/>
      </c>
      <c r="P27" s="49"/>
      <c r="S27" s="73"/>
      <c r="T27" s="63" t="e">
        <f>(Q26-R27)/R27+S27</f>
        <v>#DIV/0!</v>
      </c>
      <c r="U27" s="50" t="e">
        <f>Q26*K27*T27</f>
        <v>#DIV/0!</v>
      </c>
      <c r="X27" s="51"/>
      <c r="Z27" s="109">
        <v>2383</v>
      </c>
      <c r="AA27" s="110" t="s">
        <v>64</v>
      </c>
      <c r="AB27" s="111">
        <v>4000</v>
      </c>
      <c r="AC27" s="112">
        <v>52.53</v>
      </c>
      <c r="AD27" s="110" t="s">
        <v>137</v>
      </c>
    </row>
    <row r="28" spans="1:30" s="50" customFormat="1" ht="30" customHeight="1" thickBot="1" x14ac:dyDescent="0.35">
      <c r="A28" s="68"/>
      <c r="B28" s="290" t="str">
        <f>IF(A28:A45="","",IF(N$4="sys/",VLOOKUP(A28:A45,#REF!,4,FALSE),VLOOKUP(A28:A45,#REF!,4,FALSE)))</f>
        <v/>
      </c>
      <c r="C28" s="291"/>
      <c r="D28" s="292"/>
      <c r="E28" s="293" t="str">
        <f>IF(A28:A45="","",IF(N$4="sys/",VLOOKUP(A28:A45,#REF!,7,FALSE),VLOOKUP(A28:A45,#REF!,7,FALSE)))</f>
        <v/>
      </c>
      <c r="F28" s="294"/>
      <c r="G28" s="90" t="str">
        <f>IF(A28:A45="","",IF(P$4="sys/",VLOOKUP(A28:A45,#REF!,9,FALSE),VLOOKUP(A28:A45,#REF!,9,FALSE)))</f>
        <v/>
      </c>
      <c r="H28" s="107"/>
      <c r="I28" s="90" t="str">
        <f t="shared" si="4"/>
        <v/>
      </c>
      <c r="J28" s="53" t="str">
        <f>IF(A28:A45="","",IF(N$4="sys/",VLOOKUP(A28:A45,#REF!,8,FALSE),VLOOKUP(A28:A45,#REF!,8,FALSE)))</f>
        <v/>
      </c>
      <c r="K28" s="53"/>
      <c r="L28" s="101">
        <f t="shared" si="0"/>
        <v>0</v>
      </c>
      <c r="M28" s="53" t="str">
        <f t="shared" si="1"/>
        <v/>
      </c>
      <c r="N28" s="53" t="str">
        <f t="shared" si="2"/>
        <v/>
      </c>
      <c r="O28" s="74" t="str">
        <f t="shared" si="3"/>
        <v/>
      </c>
      <c r="P28" s="49"/>
      <c r="Q28" s="76"/>
      <c r="T28" s="63"/>
      <c r="X28" s="51"/>
    </row>
    <row r="29" spans="1:30" s="50" customFormat="1" ht="30" customHeight="1" thickBot="1" x14ac:dyDescent="0.35">
      <c r="A29" s="68"/>
      <c r="B29" s="290" t="str">
        <f>IF(A29:A46="","",IF(N$4="sys/",VLOOKUP(A29:A46,#REF!,4,FALSE),VLOOKUP(A29:A46,#REF!,4,FALSE)))</f>
        <v/>
      </c>
      <c r="C29" s="291"/>
      <c r="D29" s="292"/>
      <c r="E29" s="293" t="str">
        <f>IF(A29:A46="","",IF(N$4="sys/",VLOOKUP(A29:A46,#REF!,7,FALSE),VLOOKUP(A29:A46,#REF!,7,FALSE)))</f>
        <v/>
      </c>
      <c r="F29" s="294"/>
      <c r="G29" s="90" t="str">
        <f>IF(A29:A46="","",IF(P$4="sys/",VLOOKUP(A29:A46,#REF!,9,FALSE),VLOOKUP(A29:A46,#REF!,9,FALSE)))</f>
        <v/>
      </c>
      <c r="H29" s="107"/>
      <c r="I29" s="90" t="str">
        <f t="shared" si="4"/>
        <v/>
      </c>
      <c r="J29" s="53" t="str">
        <f>IF(A29:A46="","",IF(N$4="sys/",VLOOKUP(A29:A46,#REF!,8,FALSE),VLOOKUP(A29:A46,#REF!,8,FALSE)))</f>
        <v/>
      </c>
      <c r="K29" s="53"/>
      <c r="L29" s="101">
        <f t="shared" si="0"/>
        <v>0</v>
      </c>
      <c r="M29" s="53" t="str">
        <f t="shared" si="1"/>
        <v/>
      </c>
      <c r="N29" s="53" t="str">
        <f t="shared" si="2"/>
        <v/>
      </c>
      <c r="O29" s="74" t="str">
        <f t="shared" si="3"/>
        <v/>
      </c>
      <c r="P29" s="49"/>
      <c r="Q29" s="76"/>
      <c r="T29" s="63"/>
      <c r="X29" s="51"/>
    </row>
    <row r="30" spans="1:30" s="50" customFormat="1" ht="30" customHeight="1" thickBot="1" x14ac:dyDescent="0.35">
      <c r="A30" s="68"/>
      <c r="B30" s="290" t="str">
        <f>IF(A30:A47="","",IF(N$4="sys/",VLOOKUP(A30:A47,#REF!,4,FALSE),VLOOKUP(A30:A47,#REF!,4,FALSE)))</f>
        <v/>
      </c>
      <c r="C30" s="291"/>
      <c r="D30" s="292"/>
      <c r="E30" s="293" t="str">
        <f>IF(A30:A47="","",IF(N$4="sys/",VLOOKUP(A30:A47,#REF!,7,FALSE),VLOOKUP(A30:A47,#REF!,7,FALSE)))</f>
        <v/>
      </c>
      <c r="F30" s="294"/>
      <c r="G30" s="90" t="str">
        <f>IF(A30:A47="","",IF(P$4="sys/",VLOOKUP(A30:A47,#REF!,9,FALSE),VLOOKUP(A30:A47,#REF!,9,FALSE)))</f>
        <v/>
      </c>
      <c r="H30" s="107"/>
      <c r="I30" s="90" t="str">
        <f t="shared" si="4"/>
        <v/>
      </c>
      <c r="J30" s="53" t="str">
        <f>IF(A30:A47="","",IF(N$4="sys/",VLOOKUP(A30:A47,#REF!,8,FALSE),VLOOKUP(A30:A47,#REF!,8,FALSE)))</f>
        <v/>
      </c>
      <c r="K30" s="53"/>
      <c r="L30" s="101">
        <f t="shared" si="0"/>
        <v>0</v>
      </c>
      <c r="M30" s="53" t="str">
        <f t="shared" si="1"/>
        <v/>
      </c>
      <c r="N30" s="53" t="str">
        <f t="shared" si="2"/>
        <v/>
      </c>
      <c r="O30" s="74" t="str">
        <f t="shared" si="3"/>
        <v/>
      </c>
      <c r="P30" s="49"/>
      <c r="Q30" s="76"/>
      <c r="T30" s="63"/>
      <c r="X30" s="51"/>
    </row>
    <row r="31" spans="1:30" s="50" customFormat="1" ht="30" customHeight="1" thickBot="1" x14ac:dyDescent="0.35">
      <c r="A31" s="68"/>
      <c r="B31" s="290" t="str">
        <f>IF(A31:A48="","",IF(N$4="sys/",VLOOKUP(A31:A48,#REF!,4,FALSE),VLOOKUP(A31:A48,#REF!,4,FALSE)))</f>
        <v/>
      </c>
      <c r="C31" s="291"/>
      <c r="D31" s="292"/>
      <c r="E31" s="293" t="str">
        <f>IF(A31:A48="","",IF(N$4="sys/",VLOOKUP(A31:A48,#REF!,7,FALSE),VLOOKUP(A31:A48,#REF!,7,FALSE)))</f>
        <v/>
      </c>
      <c r="F31" s="294"/>
      <c r="G31" s="90" t="str">
        <f>IF(A31:A48="","",IF(P$4="sys/",VLOOKUP(A31:A48,#REF!,9,FALSE),VLOOKUP(A31:A48,#REF!,9,FALSE)))</f>
        <v/>
      </c>
      <c r="H31" s="107"/>
      <c r="I31" s="90" t="str">
        <f t="shared" si="4"/>
        <v/>
      </c>
      <c r="J31" s="53" t="str">
        <f>IF(A31:A48="","",IF(N$4="sys/",VLOOKUP(A31:A48,#REF!,8,FALSE),VLOOKUP(A31:A48,#REF!,8,FALSE)))</f>
        <v/>
      </c>
      <c r="K31" s="53"/>
      <c r="L31" s="101">
        <f t="shared" si="0"/>
        <v>0</v>
      </c>
      <c r="M31" s="53" t="str">
        <f t="shared" si="1"/>
        <v/>
      </c>
      <c r="N31" s="53" t="str">
        <f t="shared" si="2"/>
        <v/>
      </c>
      <c r="O31" s="74" t="str">
        <f t="shared" si="3"/>
        <v/>
      </c>
      <c r="P31" s="49"/>
      <c r="Q31" s="76"/>
      <c r="T31" s="63"/>
      <c r="X31" s="51"/>
    </row>
    <row r="32" spans="1:30" s="50" customFormat="1" ht="30" customHeight="1" thickBot="1" x14ac:dyDescent="0.35">
      <c r="A32" s="68"/>
      <c r="B32" s="290" t="str">
        <f>IF(A32:A49="","",IF(N$4="sys/",VLOOKUP(A32:A49,#REF!,4,FALSE),VLOOKUP(A32:A49,#REF!,4,FALSE)))</f>
        <v/>
      </c>
      <c r="C32" s="291"/>
      <c r="D32" s="292"/>
      <c r="E32" s="293" t="str">
        <f>IF(A32:A49="","",IF(N$4="sys/",VLOOKUP(A32:A49,#REF!,7,FALSE),VLOOKUP(A32:A49,#REF!,7,FALSE)))</f>
        <v/>
      </c>
      <c r="F32" s="294"/>
      <c r="G32" s="90" t="str">
        <f>IF(A32:A49="","",IF(P$4="sys/",VLOOKUP(A32:A49,#REF!,9,FALSE),VLOOKUP(A32:A49,#REF!,9,FALSE)))</f>
        <v/>
      </c>
      <c r="H32" s="107"/>
      <c r="I32" s="90" t="str">
        <f t="shared" si="4"/>
        <v/>
      </c>
      <c r="J32" s="53" t="str">
        <f>IF(A32:A49="","",IF(N$4="sys/",VLOOKUP(A32:A49,#REF!,8,FALSE),VLOOKUP(A32:A49,#REF!,8,FALSE)))</f>
        <v/>
      </c>
      <c r="K32" s="53"/>
      <c r="L32" s="101">
        <f t="shared" si="0"/>
        <v>0</v>
      </c>
      <c r="M32" s="53" t="str">
        <f t="shared" si="1"/>
        <v/>
      </c>
      <c r="N32" s="53" t="str">
        <f t="shared" si="2"/>
        <v/>
      </c>
      <c r="O32" s="74" t="str">
        <f t="shared" si="3"/>
        <v/>
      </c>
      <c r="P32" s="49"/>
      <c r="Q32" s="76"/>
      <c r="T32" s="63"/>
      <c r="X32" s="51"/>
    </row>
    <row r="33" spans="1:24" s="50" customFormat="1" ht="30" customHeight="1" thickBot="1" x14ac:dyDescent="0.35">
      <c r="A33" s="68"/>
      <c r="B33" s="290" t="str">
        <f>IF(A33:A50="","",IF(N$4="sys/",VLOOKUP(A33:A50,#REF!,4,FALSE),VLOOKUP(A33:A50,#REF!,4,FALSE)))</f>
        <v/>
      </c>
      <c r="C33" s="291"/>
      <c r="D33" s="292"/>
      <c r="E33" s="293" t="str">
        <f>IF(A33:A50="","",IF(N$4="sys/",VLOOKUP(A33:A50,#REF!,7,FALSE),VLOOKUP(A33:A50,#REF!,7,FALSE)))</f>
        <v/>
      </c>
      <c r="F33" s="294"/>
      <c r="G33" s="90" t="str">
        <f>IF(A33:A50="","",IF(P$4="sys/",VLOOKUP(A33:A50,#REF!,9,FALSE),VLOOKUP(A33:A50,#REF!,9,FALSE)))</f>
        <v/>
      </c>
      <c r="H33" s="107"/>
      <c r="I33" s="90" t="str">
        <f t="shared" si="4"/>
        <v/>
      </c>
      <c r="J33" s="53" t="str">
        <f>IF(A33:A50="","",IF(N$4="sys/",VLOOKUP(A33:A50,#REF!,8,FALSE),VLOOKUP(A33:A50,#REF!,8,FALSE)))</f>
        <v/>
      </c>
      <c r="K33" s="53"/>
      <c r="L33" s="101">
        <f t="shared" si="0"/>
        <v>0</v>
      </c>
      <c r="M33" s="53" t="str">
        <f t="shared" si="1"/>
        <v/>
      </c>
      <c r="N33" s="53" t="str">
        <f t="shared" si="2"/>
        <v/>
      </c>
      <c r="O33" s="74" t="str">
        <f t="shared" si="3"/>
        <v/>
      </c>
      <c r="P33" s="49"/>
      <c r="Q33" s="76"/>
      <c r="T33" s="63"/>
      <c r="X33" s="51"/>
    </row>
    <row r="34" spans="1:24" s="50" customFormat="1" ht="30" customHeight="1" thickBot="1" x14ac:dyDescent="0.35">
      <c r="A34" s="68"/>
      <c r="B34" s="290" t="str">
        <f>IF(A34:A51="","",IF(N$4="sys/",VLOOKUP(A34:A51,#REF!,4,FALSE),VLOOKUP(A34:A51,#REF!,4,FALSE)))</f>
        <v/>
      </c>
      <c r="C34" s="291"/>
      <c r="D34" s="292"/>
      <c r="E34" s="293" t="str">
        <f>IF(A34:A51="","",IF(N$4="sys/",VLOOKUP(A34:A51,#REF!,7,FALSE),VLOOKUP(A34:A51,#REF!,7,FALSE)))</f>
        <v/>
      </c>
      <c r="F34" s="294"/>
      <c r="G34" s="90" t="str">
        <f>IF(A34:A51="","",IF(P$4="sys/",VLOOKUP(A34:A51,#REF!,9,FALSE),VLOOKUP(A34:A51,#REF!,9,FALSE)))</f>
        <v/>
      </c>
      <c r="H34" s="107"/>
      <c r="I34" s="90" t="str">
        <f t="shared" si="4"/>
        <v/>
      </c>
      <c r="J34" s="53" t="str">
        <f>IF(A34:A51="","",IF(N$4="sys/",VLOOKUP(A34:A51,#REF!,8,FALSE),VLOOKUP(A34:A51,#REF!,8,FALSE)))</f>
        <v/>
      </c>
      <c r="K34" s="53"/>
      <c r="L34" s="101">
        <f t="shared" si="0"/>
        <v>0</v>
      </c>
      <c r="M34" s="53" t="str">
        <f t="shared" si="1"/>
        <v/>
      </c>
      <c r="N34" s="53" t="str">
        <f t="shared" si="2"/>
        <v/>
      </c>
      <c r="O34" s="74" t="str">
        <f t="shared" si="3"/>
        <v/>
      </c>
      <c r="P34" s="49"/>
      <c r="Q34" s="76"/>
      <c r="T34" s="63"/>
      <c r="X34" s="51"/>
    </row>
    <row r="35" spans="1:24" ht="17.25" thickBot="1" x14ac:dyDescent="0.35">
      <c r="A35" s="97" t="s">
        <v>5</v>
      </c>
      <c r="B35" s="98"/>
      <c r="C35" s="98"/>
      <c r="D35" s="98"/>
      <c r="E35" s="98"/>
      <c r="F35" s="98"/>
      <c r="G35" s="98"/>
      <c r="H35" s="98"/>
      <c r="I35" s="98">
        <f>AVERAGE(I17:I34)</f>
        <v>1</v>
      </c>
      <c r="J35" s="98"/>
      <c r="K35" s="99">
        <f>SUM(K17:K34)</f>
        <v>24000</v>
      </c>
      <c r="L35" s="99"/>
      <c r="M35" s="99">
        <f>SUM(M17:M34)</f>
        <v>25440</v>
      </c>
      <c r="N35" s="99"/>
      <c r="O35" s="100">
        <f>SUM(O17:O34)</f>
        <v>832320</v>
      </c>
      <c r="Q35" t="s">
        <v>125</v>
      </c>
      <c r="R35" s="76"/>
      <c r="S35" s="76"/>
      <c r="T35" s="76"/>
      <c r="U35" t="e">
        <f>SUM(U17:U28)</f>
        <v>#DIV/0!</v>
      </c>
      <c r="X35" s="47" t="e">
        <f>U35/O44</f>
        <v>#DIV/0!</v>
      </c>
    </row>
    <row r="36" spans="1:24" ht="21" x14ac:dyDescent="0.3">
      <c r="A36" s="286" t="s">
        <v>37</v>
      </c>
      <c r="B36" s="287"/>
      <c r="C36" s="271" t="s">
        <v>40</v>
      </c>
      <c r="D36" s="271"/>
      <c r="E36" s="6"/>
      <c r="F36" s="6"/>
      <c r="G36" s="6"/>
      <c r="H36" s="6"/>
      <c r="I36" s="6"/>
      <c r="J36" s="6"/>
      <c r="K36" s="6"/>
      <c r="L36" s="6"/>
      <c r="M36" s="295" t="s">
        <v>21</v>
      </c>
      <c r="N36" s="296"/>
      <c r="O36" s="57">
        <f>O35</f>
        <v>832320</v>
      </c>
      <c r="T36" s="46"/>
      <c r="X36" s="47"/>
    </row>
    <row r="37" spans="1:24" ht="18.75" x14ac:dyDescent="0.3">
      <c r="A37" s="286" t="s">
        <v>38</v>
      </c>
      <c r="B37" s="287"/>
      <c r="C37" s="271" t="s">
        <v>139</v>
      </c>
      <c r="D37" s="271"/>
      <c r="E37" s="6"/>
      <c r="F37" s="6"/>
      <c r="G37" s="6"/>
      <c r="H37" s="6"/>
      <c r="I37" s="6"/>
      <c r="J37" s="6"/>
      <c r="K37" s="6"/>
      <c r="L37" s="6"/>
      <c r="M37" s="288" t="s">
        <v>22</v>
      </c>
      <c r="N37" s="289"/>
      <c r="O37" s="56">
        <f>(T14*Y13+U14*Y14)*V14</f>
        <v>19800</v>
      </c>
      <c r="T37" s="47"/>
      <c r="X37" s="47"/>
    </row>
    <row r="38" spans="1:24" ht="16.5" customHeight="1" x14ac:dyDescent="0.3">
      <c r="A38" s="12" t="s">
        <v>46</v>
      </c>
      <c r="B38" s="6"/>
      <c r="C38" s="44" t="s">
        <v>28</v>
      </c>
      <c r="D38" s="6"/>
      <c r="E38" s="6"/>
      <c r="F38" s="6"/>
      <c r="G38" s="6"/>
      <c r="H38" s="6"/>
      <c r="I38" s="6"/>
      <c r="J38" s="6"/>
      <c r="K38" s="6"/>
      <c r="L38" s="6"/>
      <c r="M38" s="276" t="s">
        <v>26</v>
      </c>
      <c r="N38" s="277"/>
      <c r="O38" s="55">
        <v>0</v>
      </c>
      <c r="U38" s="69" t="s">
        <v>82</v>
      </c>
    </row>
    <row r="39" spans="1:24" ht="16.5" customHeight="1" x14ac:dyDescent="0.3">
      <c r="A39" s="15" t="str">
        <f>IF(B1=X1,Z3,AA3)</f>
        <v>PAYEE:SINOCHEM TIANJIN CO., LTD</v>
      </c>
      <c r="B39" s="6"/>
      <c r="C39" s="6"/>
      <c r="D39" s="6"/>
      <c r="E39" s="6"/>
      <c r="F39" s="6"/>
      <c r="G39" s="6"/>
      <c r="H39" s="6"/>
      <c r="I39" s="6"/>
      <c r="J39" s="6"/>
      <c r="K39" s="6"/>
      <c r="L39" s="6"/>
      <c r="M39" s="276" t="s">
        <v>27</v>
      </c>
      <c r="N39" s="277"/>
      <c r="O39" s="55">
        <v>0</v>
      </c>
    </row>
    <row r="40" spans="1:24" ht="16.5" customHeight="1" x14ac:dyDescent="0.3">
      <c r="A40" s="16" t="s">
        <v>13</v>
      </c>
      <c r="B40" s="6"/>
      <c r="C40" s="6"/>
      <c r="D40" s="6"/>
      <c r="E40" s="6"/>
      <c r="F40" s="6"/>
      <c r="G40" s="6"/>
      <c r="H40" s="6"/>
      <c r="I40" s="6"/>
      <c r="J40" s="6"/>
      <c r="K40" s="6"/>
      <c r="L40" s="6"/>
      <c r="M40" s="6"/>
      <c r="N40" s="6"/>
      <c r="O40" s="55">
        <v>0</v>
      </c>
    </row>
    <row r="41" spans="1:24" ht="16.5" customHeight="1" x14ac:dyDescent="0.3">
      <c r="A41" s="16" t="s">
        <v>14</v>
      </c>
      <c r="B41" s="6"/>
      <c r="C41" s="6"/>
      <c r="D41" s="6"/>
      <c r="E41" s="6"/>
      <c r="F41" s="6"/>
      <c r="G41" s="6"/>
      <c r="H41" s="6"/>
      <c r="I41" s="6"/>
      <c r="J41" s="6"/>
      <c r="K41" s="6"/>
      <c r="L41" s="6"/>
      <c r="M41" s="6"/>
      <c r="N41" s="6"/>
      <c r="O41" s="55">
        <v>0</v>
      </c>
    </row>
    <row r="42" spans="1:24" ht="16.5" customHeight="1" x14ac:dyDescent="0.3">
      <c r="A42" s="16" t="s">
        <v>15</v>
      </c>
      <c r="B42" s="6"/>
      <c r="C42" s="6"/>
      <c r="D42" s="6"/>
      <c r="E42" s="6"/>
      <c r="F42" s="6"/>
      <c r="G42" s="6"/>
      <c r="H42" s="6"/>
      <c r="I42" s="6"/>
      <c r="J42" s="6"/>
      <c r="K42" s="6"/>
      <c r="L42" s="6"/>
      <c r="M42" s="6"/>
      <c r="N42" s="6"/>
      <c r="O42" s="55">
        <v>0</v>
      </c>
    </row>
    <row r="43" spans="1:24" ht="16.5" customHeight="1" x14ac:dyDescent="0.3">
      <c r="A43" s="16" t="s">
        <v>16</v>
      </c>
      <c r="B43" s="6"/>
      <c r="C43" s="6"/>
      <c r="D43" s="6"/>
      <c r="E43" s="6"/>
      <c r="F43" s="6"/>
      <c r="G43" s="6"/>
      <c r="H43" s="6"/>
      <c r="I43" s="6"/>
      <c r="J43" s="6"/>
      <c r="K43" s="6"/>
      <c r="L43" s="6"/>
      <c r="M43" s="6"/>
      <c r="N43" s="6"/>
      <c r="O43" s="55">
        <v>0</v>
      </c>
      <c r="Q43" s="72">
        <v>426655.25</v>
      </c>
    </row>
    <row r="44" spans="1:24" ht="21.75" thickBot="1" x14ac:dyDescent="0.4">
      <c r="A44" s="16" t="str">
        <f>IF(B1=X1,Z2,AA2)</f>
        <v>ACCOUNT NUMBER:10002000096220000016</v>
      </c>
      <c r="B44" s="1"/>
      <c r="C44" s="1"/>
      <c r="D44" s="1"/>
      <c r="E44" s="1"/>
      <c r="F44" s="1"/>
      <c r="G44" s="1"/>
      <c r="H44" s="1"/>
      <c r="I44" s="1"/>
      <c r="J44" s="1"/>
      <c r="K44" s="1"/>
      <c r="L44" s="1"/>
      <c r="M44" s="278" t="s">
        <v>25</v>
      </c>
      <c r="N44" s="279"/>
      <c r="O44" s="54">
        <f>SUM(O36+O37)</f>
        <v>852120</v>
      </c>
    </row>
    <row r="45" spans="1:24" ht="18.75" thickBot="1" x14ac:dyDescent="0.35">
      <c r="A45" s="280" t="s">
        <v>83</v>
      </c>
      <c r="B45" s="281"/>
      <c r="C45" s="282" t="e">
        <f ca="1">SpellNumber(O44)</f>
        <v>#NAME?</v>
      </c>
      <c r="D45" s="282"/>
      <c r="E45" s="282"/>
      <c r="F45" s="282"/>
      <c r="G45" s="282"/>
      <c r="H45" s="282"/>
      <c r="I45" s="282"/>
      <c r="J45" s="282"/>
      <c r="K45" s="283"/>
      <c r="L45" s="103"/>
      <c r="M45" s="1"/>
      <c r="N45" s="1"/>
      <c r="O45" s="45" t="s">
        <v>51</v>
      </c>
    </row>
    <row r="46" spans="1:24" x14ac:dyDescent="0.3">
      <c r="A46" s="284"/>
      <c r="B46" s="285"/>
      <c r="C46" s="285"/>
      <c r="D46" s="285"/>
      <c r="E46" s="285"/>
      <c r="F46" s="285"/>
      <c r="G46" s="285"/>
      <c r="H46" s="285"/>
      <c r="I46" s="285"/>
      <c r="J46" s="285"/>
      <c r="K46" s="285"/>
      <c r="L46" s="102"/>
      <c r="M46" s="1"/>
      <c r="N46" s="1"/>
      <c r="O46" s="17"/>
    </row>
    <row r="47" spans="1:24" ht="16.5" x14ac:dyDescent="0.3">
      <c r="A47" s="18" t="s">
        <v>8</v>
      </c>
      <c r="B47" s="5"/>
      <c r="C47" s="5"/>
      <c r="D47" s="5"/>
      <c r="E47" s="5"/>
      <c r="F47" s="5"/>
      <c r="G47" s="5"/>
      <c r="H47" s="5"/>
      <c r="I47" s="5"/>
      <c r="J47" s="5"/>
      <c r="K47" s="5"/>
      <c r="L47" s="5"/>
      <c r="M47" s="5"/>
      <c r="N47" s="5"/>
      <c r="O47" s="19"/>
    </row>
    <row r="48" spans="1:24" x14ac:dyDescent="0.3">
      <c r="A48" s="28" t="s">
        <v>4</v>
      </c>
      <c r="B48" s="27"/>
      <c r="C48" s="27" t="s">
        <v>28</v>
      </c>
      <c r="D48" s="27"/>
      <c r="E48" s="27"/>
      <c r="F48" s="27"/>
      <c r="G48" s="1"/>
      <c r="H48" s="1"/>
      <c r="I48" s="1"/>
      <c r="J48" s="1"/>
      <c r="K48" s="1"/>
      <c r="L48" s="1"/>
      <c r="M48" s="1"/>
      <c r="N48" s="1"/>
      <c r="O48" s="17"/>
    </row>
    <row r="49" spans="1:21" x14ac:dyDescent="0.3">
      <c r="A49" s="28" t="s">
        <v>2</v>
      </c>
      <c r="B49" s="27"/>
      <c r="C49" s="27" t="s">
        <v>28</v>
      </c>
      <c r="D49" s="27"/>
      <c r="E49" s="27"/>
      <c r="F49" s="27"/>
      <c r="G49" s="1"/>
      <c r="H49" s="1"/>
      <c r="I49" s="1"/>
      <c r="J49" s="1"/>
      <c r="K49" s="1"/>
      <c r="L49" s="1"/>
      <c r="M49" s="1"/>
      <c r="N49" s="1"/>
      <c r="O49" s="17"/>
      <c r="U49" t="e">
        <f ca="1">SpellNumber(O44)</f>
        <v>#NAME?</v>
      </c>
    </row>
    <row r="50" spans="1:21" x14ac:dyDescent="0.3">
      <c r="A50" s="28" t="s">
        <v>3</v>
      </c>
      <c r="B50" s="27"/>
      <c r="C50" s="27" t="s">
        <v>29</v>
      </c>
      <c r="D50" s="27"/>
      <c r="E50" s="27"/>
      <c r="F50" s="27"/>
      <c r="G50" s="1"/>
      <c r="H50" s="1"/>
      <c r="I50" s="1"/>
      <c r="J50" s="1"/>
      <c r="K50" s="1"/>
      <c r="L50" s="1"/>
      <c r="M50" s="1"/>
      <c r="N50" s="1"/>
      <c r="O50" s="17"/>
    </row>
    <row r="51" spans="1:21" x14ac:dyDescent="0.3">
      <c r="A51" s="28"/>
      <c r="B51" s="27"/>
      <c r="C51" s="27"/>
      <c r="D51" s="27"/>
      <c r="E51" s="27"/>
      <c r="F51" s="27"/>
      <c r="G51" s="1"/>
      <c r="H51" s="1"/>
      <c r="I51" s="1"/>
      <c r="J51" s="1"/>
      <c r="K51" s="1"/>
      <c r="L51" s="1"/>
      <c r="M51" s="1"/>
      <c r="N51" s="1"/>
      <c r="O51" s="17"/>
      <c r="T51" t="e">
        <f ca="1">SpellNumber(O44)</f>
        <v>#NAME?</v>
      </c>
    </row>
    <row r="52" spans="1:21" x14ac:dyDescent="0.3">
      <c r="A52" s="29" t="s">
        <v>6</v>
      </c>
      <c r="B52" s="26"/>
      <c r="C52" s="271" t="s">
        <v>24</v>
      </c>
      <c r="D52" s="271"/>
      <c r="E52" s="271"/>
      <c r="F52" s="271"/>
      <c r="G52" s="2"/>
      <c r="H52" s="2"/>
      <c r="I52" s="2"/>
      <c r="J52" s="2"/>
      <c r="K52" s="2"/>
      <c r="L52" s="2"/>
      <c r="M52" s="2"/>
      <c r="N52" s="2"/>
      <c r="O52" s="17"/>
      <c r="T52" t="e">
        <f ca="1">SpellNumber(O44)</f>
        <v>#NAME?</v>
      </c>
    </row>
    <row r="53" spans="1:21" x14ac:dyDescent="0.3">
      <c r="A53" s="20"/>
      <c r="B53" s="2"/>
      <c r="C53" s="2"/>
      <c r="D53" s="2"/>
      <c r="E53" s="2"/>
      <c r="F53" s="2"/>
      <c r="G53" s="2"/>
      <c r="H53" s="2"/>
      <c r="I53" s="2"/>
      <c r="J53" s="2"/>
      <c r="K53" s="2"/>
      <c r="L53" s="2"/>
      <c r="M53" s="2"/>
      <c r="N53" s="2"/>
      <c r="O53" s="17"/>
      <c r="T53" t="e">
        <f ca="1">SpellNumber(O44)</f>
        <v>#NAME?</v>
      </c>
    </row>
    <row r="54" spans="1:21" ht="15" customHeight="1" x14ac:dyDescent="0.3">
      <c r="A54" s="272" t="s">
        <v>30</v>
      </c>
      <c r="B54" s="273"/>
      <c r="C54" s="273"/>
      <c r="D54" s="273"/>
      <c r="E54" s="273"/>
      <c r="F54" s="273"/>
      <c r="G54" s="273"/>
      <c r="H54" s="78"/>
      <c r="I54" s="78"/>
      <c r="J54" s="2"/>
      <c r="K54" s="2"/>
      <c r="L54" s="2"/>
      <c r="M54" s="2"/>
      <c r="N54" s="2"/>
      <c r="O54" s="17"/>
    </row>
    <row r="55" spans="1:21" x14ac:dyDescent="0.3">
      <c r="A55" s="272"/>
      <c r="B55" s="273"/>
      <c r="C55" s="273"/>
      <c r="D55" s="273"/>
      <c r="E55" s="273"/>
      <c r="F55" s="273"/>
      <c r="G55" s="273"/>
      <c r="H55" s="78"/>
      <c r="I55" s="78"/>
      <c r="J55" s="2"/>
      <c r="K55" s="2"/>
      <c r="L55" s="2"/>
      <c r="M55" s="2"/>
      <c r="N55" s="2"/>
      <c r="O55" s="17"/>
    </row>
    <row r="56" spans="1:21" x14ac:dyDescent="0.3">
      <c r="A56" s="272"/>
      <c r="B56" s="273"/>
      <c r="C56" s="273"/>
      <c r="D56" s="273"/>
      <c r="E56" s="273"/>
      <c r="F56" s="273"/>
      <c r="G56" s="273"/>
      <c r="H56" s="78"/>
      <c r="I56" s="78"/>
      <c r="J56" s="2"/>
      <c r="K56" s="2"/>
      <c r="L56" s="2"/>
      <c r="M56" s="2"/>
      <c r="N56" s="2"/>
      <c r="O56" s="17"/>
    </row>
    <row r="57" spans="1:21" x14ac:dyDescent="0.3">
      <c r="A57" s="21" t="s">
        <v>92</v>
      </c>
      <c r="B57" s="4"/>
      <c r="C57" s="2"/>
      <c r="D57" s="2"/>
      <c r="E57" s="2"/>
      <c r="F57" s="2"/>
      <c r="G57" s="2"/>
      <c r="H57" s="2"/>
      <c r="I57" s="2"/>
      <c r="J57" s="2"/>
      <c r="K57" s="2"/>
      <c r="L57" s="2"/>
      <c r="M57" s="2"/>
      <c r="N57" s="2"/>
      <c r="O57" s="17"/>
    </row>
    <row r="58" spans="1:21" ht="15.75" thickBot="1" x14ac:dyDescent="0.35">
      <c r="A58" s="274" t="str">
        <f>IF(B1=X1,Z1,AA1)</f>
        <v>SINOCHEM TIANJIN CO., LTD</v>
      </c>
      <c r="B58" s="275">
        <f>IF(C57=Y57,AA57,AB57)</f>
        <v>0</v>
      </c>
      <c r="C58" s="275">
        <f>IF(D57=Z57,AB57,AC57)</f>
        <v>0</v>
      </c>
      <c r="D58" s="275">
        <f>IF(E57=AA57,AC57,AD57)</f>
        <v>0</v>
      </c>
      <c r="E58" s="24"/>
      <c r="F58" s="22"/>
      <c r="G58" s="22"/>
      <c r="H58" s="22"/>
      <c r="I58" s="22"/>
      <c r="J58" s="22"/>
      <c r="K58" s="22"/>
      <c r="L58" s="22"/>
      <c r="M58" s="22"/>
      <c r="N58" s="22"/>
      <c r="O58" s="23"/>
    </row>
  </sheetData>
  <mergeCells count="68">
    <mergeCell ref="Q13:R14"/>
    <mergeCell ref="M14:N14"/>
    <mergeCell ref="B1:F1"/>
    <mergeCell ref="N2:O2"/>
    <mergeCell ref="N3:O3"/>
    <mergeCell ref="K5:M5"/>
    <mergeCell ref="N5:O5"/>
    <mergeCell ref="A10:D10"/>
    <mergeCell ref="M10:N10"/>
    <mergeCell ref="B18:D18"/>
    <mergeCell ref="E18:F18"/>
    <mergeCell ref="A11:B11"/>
    <mergeCell ref="C11:D11"/>
    <mergeCell ref="M11:N11"/>
    <mergeCell ref="M12:N12"/>
    <mergeCell ref="M13:N13"/>
    <mergeCell ref="M15:N15"/>
    <mergeCell ref="B16:D16"/>
    <mergeCell ref="E16:F16"/>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A37:B37"/>
    <mergeCell ref="C37:D37"/>
    <mergeCell ref="M37:N37"/>
    <mergeCell ref="B31:D31"/>
    <mergeCell ref="E31:F31"/>
    <mergeCell ref="B32:D32"/>
    <mergeCell ref="E32:F32"/>
    <mergeCell ref="B33:D33"/>
    <mergeCell ref="E33:F33"/>
    <mergeCell ref="B34:D34"/>
    <mergeCell ref="E34:F34"/>
    <mergeCell ref="A36:B36"/>
    <mergeCell ref="C36:D36"/>
    <mergeCell ref="M36:N36"/>
    <mergeCell ref="C52:F52"/>
    <mergeCell ref="A54:G56"/>
    <mergeCell ref="A58:D58"/>
    <mergeCell ref="M38:N38"/>
    <mergeCell ref="M39:N39"/>
    <mergeCell ref="M44:N44"/>
    <mergeCell ref="A45:B45"/>
    <mergeCell ref="C45:K45"/>
    <mergeCell ref="A46:K46"/>
  </mergeCells>
  <dataValidations count="1">
    <dataValidation type="list" allowBlank="1" showInputMessage="1" showErrorMessage="1" sqref="B1:F1" xr:uid="{00000000-0002-0000-0700-000000000000}">
      <formula1>$X$1:$Y$1</formula1>
    </dataValidation>
  </dataValidations>
  <printOptions horizontalCentered="1"/>
  <pageMargins left="0.511811023622047" right="0.511811023622047" top="0.511811023622047" bottom="0.511811023622047" header="0.511811023622047" footer="0.23622047244094499"/>
  <pageSetup scale="60"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4"/>
  <dimension ref="A1:AD58"/>
  <sheetViews>
    <sheetView showGridLines="0" zoomScale="93" zoomScaleNormal="93" workbookViewId="0">
      <selection activeCell="A10" sqref="A10:D10"/>
    </sheetView>
  </sheetViews>
  <sheetFormatPr defaultRowHeight="15" x14ac:dyDescent="0.3"/>
  <cols>
    <col min="1" max="3" width="11.42578125" customWidth="1"/>
    <col min="4" max="4" width="21.140625" customWidth="1"/>
    <col min="5" max="5" width="11.42578125" customWidth="1"/>
    <col min="6" max="6" width="17" customWidth="1"/>
    <col min="7" max="7" width="8.140625" bestFit="1" customWidth="1"/>
    <col min="8" max="8" width="8.140625" customWidth="1"/>
    <col min="9" max="9" width="9.42578125" hidden="1" customWidth="1"/>
    <col min="10" max="11" width="11.42578125" customWidth="1"/>
    <col min="12" max="12" width="11.42578125" hidden="1" customWidth="1"/>
    <col min="13" max="14" width="11.42578125" customWidth="1"/>
    <col min="15" max="15" width="16.85546875" customWidth="1"/>
    <col min="16" max="16" width="10.85546875" bestFit="1" customWidth="1"/>
    <col min="17" max="17" width="9.85546875" bestFit="1" customWidth="1"/>
    <col min="20" max="20" width="11.85546875" bestFit="1" customWidth="1"/>
    <col min="24" max="24" width="13.7109375" bestFit="1" customWidth="1"/>
  </cols>
  <sheetData>
    <row r="1" spans="1:27" ht="78" customHeight="1" x14ac:dyDescent="0.45">
      <c r="A1" s="8"/>
      <c r="B1" s="306" t="s">
        <v>108</v>
      </c>
      <c r="C1" s="306"/>
      <c r="D1" s="306"/>
      <c r="E1" s="306"/>
      <c r="F1" s="306"/>
      <c r="G1" s="104"/>
      <c r="H1" s="104"/>
      <c r="I1" s="104"/>
      <c r="J1" s="104"/>
      <c r="K1" s="104"/>
      <c r="L1" s="104"/>
      <c r="M1" s="104"/>
      <c r="N1" s="104"/>
      <c r="O1" s="30" t="s">
        <v>7</v>
      </c>
      <c r="X1" s="87" t="s">
        <v>74</v>
      </c>
      <c r="Y1" s="88" t="s">
        <v>108</v>
      </c>
      <c r="Z1" s="38" t="s">
        <v>69</v>
      </c>
      <c r="AA1" s="38" t="s">
        <v>109</v>
      </c>
    </row>
    <row r="2" spans="1:27" ht="16.5" x14ac:dyDescent="0.3">
      <c r="A2" s="38" t="str">
        <f>IF(B1=X1,Z1,AA1)</f>
        <v>SINOCHEM TIANJIN CO., LTD</v>
      </c>
      <c r="B2" s="39"/>
      <c r="C2" s="39"/>
      <c r="D2" s="9"/>
      <c r="E2" s="9"/>
      <c r="F2" s="9"/>
      <c r="G2" s="9"/>
      <c r="H2" s="9"/>
      <c r="I2" s="9"/>
      <c r="J2" s="9"/>
      <c r="K2" s="35"/>
      <c r="L2" s="35"/>
      <c r="M2" s="36" t="s">
        <v>45</v>
      </c>
      <c r="N2" s="307">
        <v>42217</v>
      </c>
      <c r="O2" s="308"/>
      <c r="Z2" s="89" t="s">
        <v>110</v>
      </c>
      <c r="AA2" s="89" t="s">
        <v>111</v>
      </c>
    </row>
    <row r="3" spans="1:27" ht="16.5" x14ac:dyDescent="0.3">
      <c r="A3" s="40" t="s">
        <v>11</v>
      </c>
      <c r="B3" s="41"/>
      <c r="C3" s="41"/>
      <c r="D3" s="10"/>
      <c r="E3" s="10"/>
      <c r="F3" s="10"/>
      <c r="G3" s="10"/>
      <c r="H3" s="10"/>
      <c r="I3" s="10"/>
      <c r="J3" s="10"/>
      <c r="K3" s="37"/>
      <c r="L3" s="37"/>
      <c r="M3" s="36" t="s">
        <v>44</v>
      </c>
      <c r="N3" s="307" t="s">
        <v>96</v>
      </c>
      <c r="O3" s="308"/>
      <c r="Z3" s="38" t="s">
        <v>112</v>
      </c>
      <c r="AA3" s="38" t="s">
        <v>113</v>
      </c>
    </row>
    <row r="4" spans="1:27" ht="15" customHeight="1" x14ac:dyDescent="0.3">
      <c r="A4" s="40" t="s">
        <v>12</v>
      </c>
      <c r="B4" s="41"/>
      <c r="C4" s="41"/>
      <c r="D4" s="9"/>
      <c r="E4" s="9"/>
      <c r="F4" s="9"/>
      <c r="G4" s="9"/>
      <c r="H4" s="9"/>
      <c r="I4" s="9"/>
      <c r="J4" s="9"/>
      <c r="K4" s="35"/>
      <c r="L4" s="35"/>
      <c r="M4" s="36" t="s">
        <v>47</v>
      </c>
      <c r="N4" s="79" t="s">
        <v>98</v>
      </c>
      <c r="O4" s="77" t="s">
        <v>141</v>
      </c>
    </row>
    <row r="5" spans="1:27" ht="16.5" x14ac:dyDescent="0.3">
      <c r="A5" s="40" t="s">
        <v>10</v>
      </c>
      <c r="B5" s="41"/>
      <c r="C5" s="41"/>
      <c r="D5" s="9"/>
      <c r="E5" s="9"/>
      <c r="F5" s="9"/>
      <c r="G5" s="9"/>
      <c r="H5" s="9"/>
      <c r="I5" s="9"/>
      <c r="J5" s="9"/>
      <c r="K5" s="309"/>
      <c r="L5" s="309"/>
      <c r="M5" s="309"/>
      <c r="N5" s="310"/>
      <c r="O5" s="311"/>
      <c r="R5" t="s">
        <v>105</v>
      </c>
    </row>
    <row r="6" spans="1:27" ht="16.5" x14ac:dyDescent="0.3">
      <c r="A6" s="40" t="s">
        <v>9</v>
      </c>
      <c r="B6" s="41"/>
      <c r="C6" s="41"/>
      <c r="D6" s="9"/>
      <c r="E6" s="9"/>
      <c r="F6" s="9"/>
      <c r="G6" s="9"/>
      <c r="H6" s="9"/>
      <c r="I6" s="9"/>
      <c r="J6" s="9"/>
      <c r="K6" s="9"/>
      <c r="L6" s="9"/>
      <c r="M6" s="9"/>
      <c r="N6" s="9"/>
      <c r="O6" s="11"/>
      <c r="R6" t="s">
        <v>106</v>
      </c>
    </row>
    <row r="7" spans="1:27" x14ac:dyDescent="0.3">
      <c r="A7" s="12"/>
      <c r="B7" s="1"/>
      <c r="C7" s="1"/>
      <c r="D7" s="9"/>
      <c r="E7" s="9"/>
      <c r="F7" s="9"/>
      <c r="G7" s="9"/>
      <c r="H7" s="9"/>
      <c r="I7" s="9"/>
      <c r="J7" s="9"/>
      <c r="K7" s="9"/>
      <c r="L7" s="9"/>
      <c r="M7" s="9"/>
      <c r="N7" s="9"/>
      <c r="O7" s="11"/>
      <c r="R7" t="s">
        <v>89</v>
      </c>
    </row>
    <row r="8" spans="1:27" x14ac:dyDescent="0.3">
      <c r="A8" s="12"/>
      <c r="B8" s="1"/>
      <c r="C8" s="1"/>
      <c r="D8" s="1"/>
      <c r="E8" s="1"/>
      <c r="F8" s="1"/>
      <c r="G8" s="1"/>
      <c r="H8" s="1"/>
      <c r="I8" s="1"/>
      <c r="J8" s="1"/>
      <c r="K8" s="1"/>
      <c r="L8" s="1"/>
      <c r="M8" s="1"/>
      <c r="N8" s="1"/>
      <c r="O8" s="11"/>
    </row>
    <row r="9" spans="1:27" ht="16.5" x14ac:dyDescent="0.3">
      <c r="A9" s="13" t="s">
        <v>1</v>
      </c>
      <c r="B9" s="3"/>
      <c r="C9" s="3"/>
      <c r="D9" s="3"/>
      <c r="E9" s="3"/>
      <c r="F9" s="3"/>
      <c r="G9" s="3"/>
      <c r="H9" s="3"/>
      <c r="I9" s="3"/>
      <c r="J9" s="3"/>
      <c r="K9" s="3"/>
      <c r="L9" s="3"/>
      <c r="M9" s="3"/>
      <c r="N9" s="3" t="s">
        <v>31</v>
      </c>
      <c r="O9" s="34"/>
    </row>
    <row r="10" spans="1:27" ht="16.5" x14ac:dyDescent="0.3">
      <c r="A10" s="297" t="s">
        <v>88</v>
      </c>
      <c r="B10" s="298"/>
      <c r="C10" s="298"/>
      <c r="D10" s="298"/>
      <c r="E10" s="9"/>
      <c r="F10" s="9"/>
      <c r="G10" s="9"/>
      <c r="H10" s="9"/>
      <c r="I10" s="9"/>
      <c r="J10" s="9"/>
      <c r="K10" s="9"/>
      <c r="L10" s="9"/>
      <c r="M10" s="299" t="s">
        <v>32</v>
      </c>
      <c r="N10" s="299"/>
      <c r="O10" s="59" t="s">
        <v>34</v>
      </c>
    </row>
    <row r="11" spans="1:27" ht="16.5" customHeight="1" x14ac:dyDescent="0.3">
      <c r="A11" s="297" t="s">
        <v>90</v>
      </c>
      <c r="B11" s="298"/>
      <c r="C11" s="298" t="e">
        <f>VLOOKUP(A10,#REF!,2,FALSE)</f>
        <v>#REF!</v>
      </c>
      <c r="D11" s="298"/>
      <c r="E11" s="9"/>
      <c r="F11" s="9"/>
      <c r="G11" s="9"/>
      <c r="H11" s="9"/>
      <c r="I11" s="9"/>
      <c r="J11" s="9"/>
      <c r="K11" s="9"/>
      <c r="L11" s="9"/>
      <c r="M11" s="299" t="s">
        <v>42</v>
      </c>
      <c r="N11" s="299"/>
      <c r="O11" s="59" t="s">
        <v>43</v>
      </c>
    </row>
    <row r="12" spans="1:27" ht="16.5" customHeight="1" x14ac:dyDescent="0.3">
      <c r="A12" s="40" t="e">
        <f>VLOOKUP(A10,#REF!,3,FALSE)</f>
        <v>#REF!</v>
      </c>
      <c r="B12" s="41"/>
      <c r="C12" s="41"/>
      <c r="D12" s="9"/>
      <c r="E12" s="9"/>
      <c r="F12" s="9"/>
      <c r="G12" s="9"/>
      <c r="H12" s="9"/>
      <c r="I12" s="9"/>
      <c r="J12" s="9"/>
      <c r="K12" s="9"/>
      <c r="L12" s="9"/>
      <c r="M12" s="299" t="s">
        <v>41</v>
      </c>
      <c r="N12" s="299"/>
      <c r="O12" s="61">
        <f xml:space="preserve"> M35</f>
        <v>25440</v>
      </c>
      <c r="Y12" t="s">
        <v>80</v>
      </c>
      <c r="AA12" t="s">
        <v>36</v>
      </c>
    </row>
    <row r="13" spans="1:27" ht="16.5" customHeight="1" x14ac:dyDescent="0.3">
      <c r="A13" s="40" t="s">
        <v>70</v>
      </c>
      <c r="B13" s="41" t="e">
        <f>VLOOKUP(A10,#REF!,4,FALSE)</f>
        <v>#REF!</v>
      </c>
      <c r="C13" s="41"/>
      <c r="D13" s="9"/>
      <c r="E13" s="9"/>
      <c r="F13" s="9"/>
      <c r="G13" s="9"/>
      <c r="H13" s="9"/>
      <c r="I13" s="9"/>
      <c r="J13" s="9"/>
      <c r="K13" s="9"/>
      <c r="L13" s="9"/>
      <c r="M13" s="299" t="s">
        <v>35</v>
      </c>
      <c r="N13" s="299"/>
      <c r="O13" s="60" t="str">
        <f>IF(I35=1,"Cartons",IF(I35=2,"Drums","Cartons &amp; Drums"))</f>
        <v>Cartons</v>
      </c>
      <c r="Q13" s="215" t="s">
        <v>77</v>
      </c>
      <c r="R13" s="215"/>
      <c r="S13" s="105"/>
      <c r="T13" s="64" t="s">
        <v>78</v>
      </c>
      <c r="U13" s="65" t="s">
        <v>76</v>
      </c>
      <c r="V13" t="s">
        <v>95</v>
      </c>
      <c r="X13" s="51" t="s">
        <v>75</v>
      </c>
      <c r="Y13" s="50">
        <v>19800</v>
      </c>
      <c r="AA13" t="s">
        <v>67</v>
      </c>
    </row>
    <row r="14" spans="1:27" ht="16.5" customHeight="1" x14ac:dyDescent="0.3">
      <c r="A14" s="42" t="s">
        <v>71</v>
      </c>
      <c r="B14" s="43" t="e">
        <f>VLOOKUP(A10,#REF!,5,FALSE)</f>
        <v>#REF!</v>
      </c>
      <c r="C14" s="41"/>
      <c r="D14" s="9"/>
      <c r="E14" s="9"/>
      <c r="F14" s="9"/>
      <c r="G14" s="9"/>
      <c r="H14" s="9"/>
      <c r="I14" s="9"/>
      <c r="J14" s="9"/>
      <c r="K14" s="9"/>
      <c r="L14" s="9"/>
      <c r="M14" s="299" t="s">
        <v>33</v>
      </c>
      <c r="N14" s="299"/>
      <c r="O14" s="60">
        <f>SUM(L17:L34)</f>
        <v>960</v>
      </c>
      <c r="Q14" s="215"/>
      <c r="R14" s="215"/>
      <c r="S14" s="105"/>
      <c r="T14" s="105">
        <v>1</v>
      </c>
      <c r="U14" s="66"/>
      <c r="V14">
        <v>1</v>
      </c>
      <c r="X14" s="51" t="s">
        <v>76</v>
      </c>
      <c r="Y14" s="50">
        <v>15000</v>
      </c>
      <c r="AA14" t="s">
        <v>91</v>
      </c>
    </row>
    <row r="15" spans="1:27" ht="12" customHeight="1" thickBot="1" x14ac:dyDescent="0.35">
      <c r="A15" s="12"/>
      <c r="B15" s="1"/>
      <c r="C15" s="43"/>
      <c r="D15" s="1"/>
      <c r="E15" s="1"/>
      <c r="F15" s="1"/>
      <c r="G15" s="1"/>
      <c r="H15" s="1"/>
      <c r="I15" s="1"/>
      <c r="J15" s="1"/>
      <c r="K15" s="1"/>
      <c r="L15" s="1"/>
      <c r="M15" s="299"/>
      <c r="N15" s="299"/>
      <c r="O15" s="59"/>
      <c r="AA15" t="s">
        <v>89</v>
      </c>
    </row>
    <row r="16" spans="1:27" ht="48.75" customHeight="1" thickBot="1" x14ac:dyDescent="0.35">
      <c r="A16" s="94" t="s">
        <v>17</v>
      </c>
      <c r="B16" s="300" t="s">
        <v>0</v>
      </c>
      <c r="C16" s="300"/>
      <c r="D16" s="300"/>
      <c r="E16" s="300" t="s">
        <v>39</v>
      </c>
      <c r="F16" s="300"/>
      <c r="G16" s="95" t="s">
        <v>18</v>
      </c>
      <c r="H16" s="95" t="s">
        <v>104</v>
      </c>
      <c r="I16" s="95"/>
      <c r="J16" s="113" t="s">
        <v>19</v>
      </c>
      <c r="K16" s="113" t="s">
        <v>20</v>
      </c>
      <c r="L16" s="95" t="s">
        <v>126</v>
      </c>
      <c r="M16" s="95" t="s">
        <v>23</v>
      </c>
      <c r="N16" s="95" t="s">
        <v>49</v>
      </c>
      <c r="O16" s="96" t="s">
        <v>50</v>
      </c>
      <c r="Q16" s="32" t="s">
        <v>72</v>
      </c>
      <c r="R16" s="32" t="s">
        <v>81</v>
      </c>
      <c r="S16" s="32" t="s">
        <v>94</v>
      </c>
      <c r="T16" s="32" t="s">
        <v>93</v>
      </c>
      <c r="U16" s="32" t="s">
        <v>73</v>
      </c>
    </row>
    <row r="17" spans="1:30" s="50" customFormat="1" ht="30" customHeight="1" thickBot="1" x14ac:dyDescent="0.35">
      <c r="A17" s="91">
        <v>2992</v>
      </c>
      <c r="B17" s="301" t="e">
        <f>IF(A17:A28="","",IF(N$4="sys/",VLOOKUP(A17:A28,#REF!,4,FALSE),VLOOKUP(A17:A28,#REF!,4,FALSE)))</f>
        <v>#REF!</v>
      </c>
      <c r="C17" s="302"/>
      <c r="D17" s="303"/>
      <c r="E17" s="304" t="e">
        <f>IF(A17:A28="","",IF(N$4="sys/",VLOOKUP(A17:A28,#REF!,7,FALSE),VLOOKUP(A17:A28,#REF!,7,FALSE)))</f>
        <v>#REF!</v>
      </c>
      <c r="F17" s="305"/>
      <c r="G17" s="92" t="e">
        <f>IF(A17:A28="","",IF(P$4="sys/",VLOOKUP(A17:A28,#REF!,9,FALSE),VLOOKUP(A17:A28,#REF!,9,FALSE)))</f>
        <v>#REF!</v>
      </c>
      <c r="H17" s="106" t="s">
        <v>105</v>
      </c>
      <c r="I17" s="92">
        <f>IF(H17="","",IF(H17="carton",1,2))</f>
        <v>1</v>
      </c>
      <c r="J17" s="62" t="e">
        <f>IF(A17:A28="","",IF(N$4="sys/",VLOOKUP(A17:A28,#REF!,8,FALSE),VLOOKUP(A17:A28,#REF!,8,FALSE)))</f>
        <v>#REF!</v>
      </c>
      <c r="K17" s="53">
        <v>24000</v>
      </c>
      <c r="L17" s="101">
        <f t="shared" ref="L17:L34" si="0">IF(A17=142,K17/10,IF(A17=8064,K17/20,K17/25))</f>
        <v>960</v>
      </c>
      <c r="M17" s="62">
        <f t="shared" ref="M17:M34" si="1">IF(A17="","",IF(H17="carton",(IF(A17=8064,(K17*21.5/20),(K17*26.5/25))),IF(H17="drum",IF(A17=142,(K17*13/10),K17*28/25))))</f>
        <v>25440</v>
      </c>
      <c r="N17" s="108" t="str">
        <f t="shared" ref="N17:N34" si="2">IF(Q17="","",FIXED(Q17-(O$37/K$35),2,1))</f>
        <v>34.68</v>
      </c>
      <c r="O17" s="93">
        <f t="shared" ref="O17:O34" si="3">IF(K17="","",K17*N17)</f>
        <v>832320</v>
      </c>
      <c r="P17" s="49"/>
      <c r="Q17" s="112">
        <v>35.5</v>
      </c>
      <c r="R17" s="48">
        <v>89.8</v>
      </c>
      <c r="S17" s="73">
        <v>0.03</v>
      </c>
      <c r="T17" s="63">
        <f>(Q17-R17)/R17+S17</f>
        <v>-0.57467706013363029</v>
      </c>
      <c r="U17" s="50">
        <f>Q17*K17*T17</f>
        <v>-489624.85523385298</v>
      </c>
      <c r="V17" s="50">
        <f>Q17*K17</f>
        <v>852000</v>
      </c>
      <c r="Z17" s="109">
        <v>2141</v>
      </c>
      <c r="AA17" s="110" t="s">
        <v>54</v>
      </c>
      <c r="AB17" s="111">
        <v>3500</v>
      </c>
      <c r="AC17" s="112">
        <v>99.76</v>
      </c>
      <c r="AD17" s="110" t="s">
        <v>127</v>
      </c>
    </row>
    <row r="18" spans="1:30" s="50" customFormat="1" ht="30" customHeight="1" thickBot="1" x14ac:dyDescent="0.35">
      <c r="A18" s="68"/>
      <c r="B18" s="290" t="str">
        <f>IF(A18:A35="","",IF(N$4="sys/",VLOOKUP(A18:A35,#REF!,4,FALSE),VLOOKUP(A18:A35,#REF!,4,FALSE)))</f>
        <v/>
      </c>
      <c r="C18" s="291"/>
      <c r="D18" s="292"/>
      <c r="E18" s="293" t="str">
        <f>IF(A18:A35="","",IF(N$4="sys/",VLOOKUP(A18:A35,#REF!,7,FALSE),VLOOKUP(A18:A35,#REF!,7,FALSE)))</f>
        <v/>
      </c>
      <c r="F18" s="294"/>
      <c r="G18" s="90" t="str">
        <f>IF(A18:A35="","",IF(P$4="sys/",VLOOKUP(A18:A35,#REF!,9,FALSE),VLOOKUP(A18:A35,#REF!,9,FALSE)))</f>
        <v/>
      </c>
      <c r="H18" s="107"/>
      <c r="I18" s="90" t="str">
        <f t="shared" ref="I18:I34" si="4">IF(H18="","",IF(H18="carton",1,2))</f>
        <v/>
      </c>
      <c r="J18" s="53" t="str">
        <f>IF(A18:A35="","",IF(N$4="sys/",VLOOKUP(A18:A35,#REF!,8,FALSE),VLOOKUP(A18:A35,#REF!,8,FALSE)))</f>
        <v/>
      </c>
      <c r="K18" s="53"/>
      <c r="L18" s="101">
        <f t="shared" si="0"/>
        <v>0</v>
      </c>
      <c r="M18" s="53" t="str">
        <f t="shared" si="1"/>
        <v/>
      </c>
      <c r="N18" s="53" t="str">
        <f t="shared" si="2"/>
        <v/>
      </c>
      <c r="O18" s="74" t="str">
        <f t="shared" si="3"/>
        <v/>
      </c>
      <c r="P18" s="49"/>
      <c r="Q18" s="112"/>
      <c r="R18" s="48">
        <v>47.7</v>
      </c>
      <c r="S18" s="73">
        <v>0.03</v>
      </c>
      <c r="T18" s="63">
        <f t="shared" ref="T18:T23" si="5">(Q18-R18)/R18+S18</f>
        <v>-0.97</v>
      </c>
      <c r="U18" s="50">
        <f t="shared" ref="U18:U23" si="6">Q18*K18*T18</f>
        <v>0</v>
      </c>
      <c r="V18" s="50">
        <f t="shared" ref="V18:V24" si="7">Q18*K18</f>
        <v>0</v>
      </c>
      <c r="Z18" s="109">
        <v>2551</v>
      </c>
      <c r="AA18" s="110" t="s">
        <v>57</v>
      </c>
      <c r="AB18" s="111">
        <v>3500</v>
      </c>
      <c r="AC18" s="112">
        <v>112.2</v>
      </c>
      <c r="AD18" s="110" t="s">
        <v>128</v>
      </c>
    </row>
    <row r="19" spans="1:30" s="50" customFormat="1" ht="30" customHeight="1" thickBot="1" x14ac:dyDescent="0.35">
      <c r="A19" s="68"/>
      <c r="B19" s="290" t="str">
        <f>IF(A19:A36="","",IF(N$4="sys/",VLOOKUP(A19:A36,#REF!,4,FALSE),VLOOKUP(A19:A36,#REF!,4,FALSE)))</f>
        <v/>
      </c>
      <c r="C19" s="291"/>
      <c r="D19" s="292"/>
      <c r="E19" s="293" t="str">
        <f>IF(A19:A36="","",IF(N$4="sys/",VLOOKUP(A19:A36,#REF!,7,FALSE),VLOOKUP(A19:A36,#REF!,7,FALSE)))</f>
        <v/>
      </c>
      <c r="F19" s="294"/>
      <c r="G19" s="90" t="str">
        <f>IF(A19:A36="","",IF(P$4="sys/",VLOOKUP(A19:A36,#REF!,9,FALSE),VLOOKUP(A19:A36,#REF!,9,FALSE)))</f>
        <v/>
      </c>
      <c r="H19" s="107"/>
      <c r="I19" s="90" t="str">
        <f t="shared" si="4"/>
        <v/>
      </c>
      <c r="J19" s="53" t="str">
        <f>IF(A19:A36="","",IF(N$4="sys/",VLOOKUP(A19:A36,#REF!,8,FALSE),VLOOKUP(A19:A36,#REF!,8,FALSE)))</f>
        <v/>
      </c>
      <c r="K19" s="53"/>
      <c r="L19" s="101">
        <f t="shared" si="0"/>
        <v>0</v>
      </c>
      <c r="M19" s="53" t="str">
        <f t="shared" si="1"/>
        <v/>
      </c>
      <c r="N19" s="53" t="str">
        <f t="shared" si="2"/>
        <v/>
      </c>
      <c r="O19" s="74" t="str">
        <f t="shared" si="3"/>
        <v/>
      </c>
      <c r="P19" s="49"/>
      <c r="Q19" s="112"/>
      <c r="R19" s="48">
        <v>46.08</v>
      </c>
      <c r="S19" s="73">
        <v>0.03</v>
      </c>
      <c r="T19" s="63">
        <f t="shared" si="5"/>
        <v>-0.97</v>
      </c>
      <c r="U19" s="50">
        <f t="shared" si="6"/>
        <v>0</v>
      </c>
      <c r="V19" s="50">
        <f t="shared" si="7"/>
        <v>0</v>
      </c>
      <c r="X19" s="51"/>
      <c r="Z19" s="109">
        <v>2351</v>
      </c>
      <c r="AA19" s="110" t="s">
        <v>56</v>
      </c>
      <c r="AB19" s="111">
        <v>1500</v>
      </c>
      <c r="AC19" s="112">
        <v>91.6</v>
      </c>
      <c r="AD19" s="110" t="s">
        <v>129</v>
      </c>
    </row>
    <row r="20" spans="1:30" s="50" customFormat="1" ht="30" customHeight="1" thickBot="1" x14ac:dyDescent="0.35">
      <c r="A20" s="68"/>
      <c r="B20" s="290" t="str">
        <f>IF(A20:A37="","",IF(N$4="sys/",VLOOKUP(A20:A37,#REF!,4,FALSE),VLOOKUP(A20:A37,#REF!,4,FALSE)))</f>
        <v/>
      </c>
      <c r="C20" s="291"/>
      <c r="D20" s="292"/>
      <c r="E20" s="293" t="str">
        <f>IF(A20:A37="","",IF(N$4="sys/",VLOOKUP(A20:A37,#REF!,7,FALSE),VLOOKUP(A20:A37,#REF!,7,FALSE)))</f>
        <v/>
      </c>
      <c r="F20" s="294"/>
      <c r="G20" s="90" t="str">
        <f>IF(A20:A37="","",IF(P$4="sys/",VLOOKUP(A20:A37,#REF!,9,FALSE),VLOOKUP(A20:A37,#REF!,9,FALSE)))</f>
        <v/>
      </c>
      <c r="H20" s="107"/>
      <c r="I20" s="90" t="str">
        <f t="shared" si="4"/>
        <v/>
      </c>
      <c r="J20" s="53" t="str">
        <f>IF(A20:A37="","",IF(N$4="sys/",VLOOKUP(A20:A37,#REF!,8,FALSE),VLOOKUP(A20:A37,#REF!,8,FALSE)))</f>
        <v/>
      </c>
      <c r="K20" s="53"/>
      <c r="L20" s="101">
        <f t="shared" si="0"/>
        <v>0</v>
      </c>
      <c r="M20" s="53" t="str">
        <f t="shared" si="1"/>
        <v/>
      </c>
      <c r="N20" s="53" t="str">
        <f t="shared" si="2"/>
        <v/>
      </c>
      <c r="O20" s="74" t="str">
        <f t="shared" si="3"/>
        <v/>
      </c>
      <c r="P20" s="49"/>
      <c r="Q20" s="112"/>
      <c r="R20" s="48">
        <v>34</v>
      </c>
      <c r="S20" s="73">
        <v>0.03</v>
      </c>
      <c r="T20" s="63">
        <f t="shared" si="5"/>
        <v>-0.97</v>
      </c>
      <c r="U20" s="50">
        <f t="shared" si="6"/>
        <v>0</v>
      </c>
      <c r="V20" s="50">
        <f t="shared" si="7"/>
        <v>0</v>
      </c>
      <c r="Z20" s="109">
        <v>2993</v>
      </c>
      <c r="AA20" s="110" t="s">
        <v>63</v>
      </c>
      <c r="AB20" s="111">
        <v>2000</v>
      </c>
      <c r="AC20" s="112">
        <v>43.86</v>
      </c>
      <c r="AD20" s="110" t="s">
        <v>130</v>
      </c>
    </row>
    <row r="21" spans="1:30" s="50" customFormat="1" ht="30" customHeight="1" thickBot="1" x14ac:dyDescent="0.35">
      <c r="A21" s="68"/>
      <c r="B21" s="290" t="str">
        <f>IF(A21:A38="","",IF(N$4="sys/",VLOOKUP(A21:A38,#REF!,4,FALSE),VLOOKUP(A21:A38,#REF!,4,FALSE)))</f>
        <v/>
      </c>
      <c r="C21" s="291"/>
      <c r="D21" s="292"/>
      <c r="E21" s="293" t="str">
        <f>IF(A21:A38="","",IF(N$4="sys/",VLOOKUP(A21:A38,#REF!,7,FALSE),VLOOKUP(A21:A38,#REF!,7,FALSE)))</f>
        <v/>
      </c>
      <c r="F21" s="294"/>
      <c r="G21" s="90" t="str">
        <f>IF(A21:A38="","",IF(P$4="sys/",VLOOKUP(A21:A38,#REF!,9,FALSE),VLOOKUP(A21:A38,#REF!,9,FALSE)))</f>
        <v/>
      </c>
      <c r="H21" s="107"/>
      <c r="I21" s="90" t="str">
        <f t="shared" si="4"/>
        <v/>
      </c>
      <c r="J21" s="53" t="str">
        <f>IF(A21:A38="","",IF(N$4="sys/",VLOOKUP(A21:A38,#REF!,8,FALSE),VLOOKUP(A21:A38,#REF!,8,FALSE)))</f>
        <v/>
      </c>
      <c r="K21" s="53"/>
      <c r="L21" s="101">
        <f t="shared" si="0"/>
        <v>0</v>
      </c>
      <c r="M21" s="53" t="str">
        <f t="shared" si="1"/>
        <v/>
      </c>
      <c r="N21" s="53" t="str">
        <f t="shared" si="2"/>
        <v/>
      </c>
      <c r="O21" s="74" t="str">
        <f t="shared" si="3"/>
        <v/>
      </c>
      <c r="P21" s="49"/>
      <c r="Q21" s="112"/>
      <c r="R21" s="48">
        <v>157</v>
      </c>
      <c r="S21" s="73">
        <v>0.03</v>
      </c>
      <c r="T21" s="63">
        <f t="shared" si="5"/>
        <v>-0.97</v>
      </c>
      <c r="U21" s="50">
        <f t="shared" si="6"/>
        <v>0</v>
      </c>
      <c r="V21" s="50">
        <f t="shared" si="7"/>
        <v>0</v>
      </c>
      <c r="X21" s="51"/>
      <c r="Z21" s="109">
        <v>15016</v>
      </c>
      <c r="AA21" s="110" t="s">
        <v>52</v>
      </c>
      <c r="AB21" s="111">
        <v>3500</v>
      </c>
      <c r="AC21" s="112">
        <v>48.65</v>
      </c>
      <c r="AD21" s="110" t="s">
        <v>131</v>
      </c>
    </row>
    <row r="22" spans="1:30" s="50" customFormat="1" ht="30" customHeight="1" thickBot="1" x14ac:dyDescent="0.35">
      <c r="A22" s="68"/>
      <c r="B22" s="290" t="str">
        <f>IF(A22:A39="","",IF(N$4="sys/",VLOOKUP(A22:A39,#REF!,4,FALSE),VLOOKUP(A22:A39,#REF!,4,FALSE)))</f>
        <v/>
      </c>
      <c r="C22" s="291"/>
      <c r="D22" s="292"/>
      <c r="E22" s="293" t="str">
        <f>IF(A22:A39="","",IF(N$4="sys/",VLOOKUP(A22:A39,#REF!,7,FALSE),VLOOKUP(A22:A39,#REF!,7,FALSE)))</f>
        <v/>
      </c>
      <c r="F22" s="294"/>
      <c r="G22" s="90" t="str">
        <f>IF(A22:A39="","",IF(P$4="sys/",VLOOKUP(A22:A39,#REF!,9,FALSE),VLOOKUP(A22:A39,#REF!,9,FALSE)))</f>
        <v/>
      </c>
      <c r="H22" s="107"/>
      <c r="I22" s="90" t="str">
        <f t="shared" si="4"/>
        <v/>
      </c>
      <c r="J22" s="53" t="str">
        <f>IF(A22:A39="","",IF(N$4="sys/",VLOOKUP(A22:A39,#REF!,8,FALSE),VLOOKUP(A22:A39,#REF!,8,FALSE)))</f>
        <v/>
      </c>
      <c r="K22" s="53"/>
      <c r="L22" s="101">
        <f t="shared" si="0"/>
        <v>0</v>
      </c>
      <c r="M22" s="53" t="str">
        <f t="shared" si="1"/>
        <v/>
      </c>
      <c r="N22" s="53" t="str">
        <f t="shared" si="2"/>
        <v/>
      </c>
      <c r="O22" s="74" t="str">
        <f t="shared" si="3"/>
        <v/>
      </c>
      <c r="P22" s="49"/>
      <c r="Q22" s="112"/>
      <c r="R22" s="48">
        <v>54</v>
      </c>
      <c r="S22" s="73">
        <v>0.03</v>
      </c>
      <c r="T22" s="63">
        <f t="shared" si="5"/>
        <v>-0.97</v>
      </c>
      <c r="U22" s="50">
        <f t="shared" si="6"/>
        <v>0</v>
      </c>
      <c r="V22" s="50">
        <f t="shared" si="7"/>
        <v>0</v>
      </c>
      <c r="X22" s="51">
        <f>O44*5.5%</f>
        <v>46866.6</v>
      </c>
      <c r="Z22" s="109">
        <v>2572</v>
      </c>
      <c r="AA22" s="110" t="s">
        <v>61</v>
      </c>
      <c r="AB22" s="111">
        <v>2000</v>
      </c>
      <c r="AC22" s="112">
        <v>47</v>
      </c>
      <c r="AD22" s="110" t="s">
        <v>132</v>
      </c>
    </row>
    <row r="23" spans="1:30" s="50" customFormat="1" ht="30" customHeight="1" thickBot="1" x14ac:dyDescent="0.35">
      <c r="A23" s="68"/>
      <c r="B23" s="290" t="str">
        <f>IF(A23:A40="","",IF(N$4="sys/",VLOOKUP(A23:A40,#REF!,4,FALSE),VLOOKUP(A23:A40,#REF!,4,FALSE)))</f>
        <v/>
      </c>
      <c r="C23" s="291"/>
      <c r="D23" s="292"/>
      <c r="E23" s="293" t="str">
        <f>IF(A23:A40="","",IF(N$4="sys/",VLOOKUP(A23:A40,#REF!,7,FALSE),VLOOKUP(A23:A40,#REF!,7,FALSE)))</f>
        <v/>
      </c>
      <c r="F23" s="294"/>
      <c r="G23" s="90" t="str">
        <f>IF(A23:A40="","",IF(P$4="sys/",VLOOKUP(A23:A40,#REF!,9,FALSE),VLOOKUP(A23:A40,#REF!,9,FALSE)))</f>
        <v/>
      </c>
      <c r="H23" s="107"/>
      <c r="I23" s="90" t="str">
        <f t="shared" si="4"/>
        <v/>
      </c>
      <c r="J23" s="53" t="str">
        <f>IF(A23:A40="","",IF(N$4="sys/",VLOOKUP(A23:A40,#REF!,8,FALSE),VLOOKUP(A23:A40,#REF!,8,FALSE)))</f>
        <v/>
      </c>
      <c r="K23" s="53"/>
      <c r="L23" s="101">
        <f t="shared" si="0"/>
        <v>0</v>
      </c>
      <c r="M23" s="53" t="str">
        <f t="shared" si="1"/>
        <v/>
      </c>
      <c r="N23" s="53" t="str">
        <f t="shared" si="2"/>
        <v/>
      </c>
      <c r="O23" s="74" t="str">
        <f t="shared" si="3"/>
        <v/>
      </c>
      <c r="P23" s="49"/>
      <c r="Q23" s="112"/>
      <c r="R23" s="50">
        <v>51.5</v>
      </c>
      <c r="S23" s="73">
        <v>0.03</v>
      </c>
      <c r="T23" s="63">
        <f t="shared" si="5"/>
        <v>-0.97</v>
      </c>
      <c r="U23" s="50">
        <f t="shared" si="6"/>
        <v>0</v>
      </c>
      <c r="V23" s="50">
        <f t="shared" si="7"/>
        <v>0</v>
      </c>
      <c r="X23" s="51" t="e">
        <f>U35-X22</f>
        <v>#DIV/0!</v>
      </c>
      <c r="Z23" s="109">
        <v>2811</v>
      </c>
      <c r="AA23" s="110" t="s">
        <v>55</v>
      </c>
      <c r="AB23" s="111">
        <v>4500</v>
      </c>
      <c r="AC23" s="112">
        <v>34.68</v>
      </c>
      <c r="AD23" s="110" t="s">
        <v>133</v>
      </c>
    </row>
    <row r="24" spans="1:30" s="50" customFormat="1" ht="30" customHeight="1" thickBot="1" x14ac:dyDescent="0.35">
      <c r="A24" s="68"/>
      <c r="B24" s="290" t="str">
        <f>IF(A24:A41="","",IF(N$4="sys/",VLOOKUP(A24:A41,#REF!,4,FALSE),VLOOKUP(A24:A41,#REF!,4,FALSE)))</f>
        <v/>
      </c>
      <c r="C24" s="291"/>
      <c r="D24" s="292"/>
      <c r="E24" s="293" t="str">
        <f>IF(A24:A41="","",IF(N$4="sys/",VLOOKUP(A24:A41,#REF!,7,FALSE),VLOOKUP(A24:A41,#REF!,7,FALSE)))</f>
        <v/>
      </c>
      <c r="F24" s="294"/>
      <c r="G24" s="90" t="str">
        <f>IF(A24:A41="","",IF(P$4="sys/",VLOOKUP(A24:A41,#REF!,9,FALSE),VLOOKUP(A24:A41,#REF!,9,FALSE)))</f>
        <v/>
      </c>
      <c r="H24" s="107"/>
      <c r="I24" s="90" t="str">
        <f t="shared" si="4"/>
        <v/>
      </c>
      <c r="J24" s="53" t="str">
        <f>IF(A24:A41="","",IF(N$4="sys/",VLOOKUP(A24:A41,#REF!,8,FALSE),VLOOKUP(A24:A41,#REF!,8,FALSE)))</f>
        <v/>
      </c>
      <c r="K24" s="53"/>
      <c r="L24" s="101">
        <f t="shared" si="0"/>
        <v>0</v>
      </c>
      <c r="M24" s="53" t="str">
        <f t="shared" si="1"/>
        <v/>
      </c>
      <c r="N24" s="53" t="str">
        <f t="shared" si="2"/>
        <v/>
      </c>
      <c r="O24" s="74" t="str">
        <f t="shared" si="3"/>
        <v/>
      </c>
      <c r="P24" s="49"/>
      <c r="Q24" s="112"/>
      <c r="S24" s="73"/>
      <c r="T24" s="63"/>
      <c r="V24" s="50">
        <f t="shared" si="7"/>
        <v>0</v>
      </c>
      <c r="X24" s="51"/>
      <c r="Z24" s="109">
        <v>2652</v>
      </c>
      <c r="AA24" s="110" t="s">
        <v>60</v>
      </c>
      <c r="AB24" s="111">
        <v>3000</v>
      </c>
      <c r="AC24" s="112">
        <v>160.13999999999999</v>
      </c>
      <c r="AD24" s="110" t="s">
        <v>134</v>
      </c>
    </row>
    <row r="25" spans="1:30" s="50" customFormat="1" ht="30" customHeight="1" thickBot="1" x14ac:dyDescent="0.35">
      <c r="A25" s="68"/>
      <c r="B25" s="290" t="str">
        <f>IF(A25:A42="","",IF(N$4="sys/",VLOOKUP(A25:A42,#REF!,4,FALSE),VLOOKUP(A25:A42,#REF!,4,FALSE)))</f>
        <v/>
      </c>
      <c r="C25" s="291"/>
      <c r="D25" s="292"/>
      <c r="E25" s="293" t="str">
        <f>IF(A25:A42="","",IF(N$4="sys/",VLOOKUP(A25:A42,#REF!,7,FALSE),VLOOKUP(A25:A42,#REF!,7,FALSE)))</f>
        <v/>
      </c>
      <c r="F25" s="294"/>
      <c r="G25" s="90" t="str">
        <f>IF(A25:A42="","",IF(P$4="sys/",VLOOKUP(A25:A42,#REF!,9,FALSE),VLOOKUP(A25:A42,#REF!,9,FALSE)))</f>
        <v/>
      </c>
      <c r="H25" s="107"/>
      <c r="I25" s="90" t="str">
        <f t="shared" si="4"/>
        <v/>
      </c>
      <c r="J25" s="53" t="str">
        <f>IF(A25:A42="","",IF(N$4="sys/",VLOOKUP(A25:A42,#REF!,8,FALSE),VLOOKUP(A25:A42,#REF!,8,FALSE)))</f>
        <v/>
      </c>
      <c r="K25" s="53"/>
      <c r="L25" s="101">
        <f t="shared" si="0"/>
        <v>0</v>
      </c>
      <c r="M25" s="53" t="str">
        <f t="shared" si="1"/>
        <v/>
      </c>
      <c r="N25" s="53" t="str">
        <f t="shared" si="2"/>
        <v/>
      </c>
      <c r="O25" s="74" t="str">
        <f t="shared" si="3"/>
        <v/>
      </c>
      <c r="P25" s="49"/>
      <c r="Q25" s="112"/>
      <c r="S25" s="73"/>
      <c r="T25" s="63" t="e">
        <f>(Q24-R25)/R25+S25</f>
        <v>#DIV/0!</v>
      </c>
      <c r="U25" s="50" t="e">
        <f>Q24*K24*T25</f>
        <v>#DIV/0!</v>
      </c>
      <c r="V25" s="50">
        <f>Q24*K24</f>
        <v>0</v>
      </c>
      <c r="X25" s="51"/>
      <c r="Z25" s="109">
        <v>2472</v>
      </c>
      <c r="AA25" s="110" t="s">
        <v>59</v>
      </c>
      <c r="AB25" s="111">
        <v>1000</v>
      </c>
      <c r="AC25" s="112">
        <v>56.61</v>
      </c>
      <c r="AD25" s="110" t="s">
        <v>135</v>
      </c>
    </row>
    <row r="26" spans="1:30" s="50" customFormat="1" ht="30.75" customHeight="1" thickBot="1" x14ac:dyDescent="0.35">
      <c r="A26" s="68"/>
      <c r="B26" s="290" t="str">
        <f>IF(A26:A43="","",IF(N$4="sys/",VLOOKUP(A26:A43,#REF!,4,FALSE),VLOOKUP(A26:A43,#REF!,4,FALSE)))</f>
        <v/>
      </c>
      <c r="C26" s="291"/>
      <c r="D26" s="292"/>
      <c r="E26" s="293" t="str">
        <f>IF(A26:A43="","",IF(N$4="sys/",VLOOKUP(A26:A43,#REF!,7,FALSE),VLOOKUP(A26:A43,#REF!,7,FALSE)))</f>
        <v/>
      </c>
      <c r="F26" s="294"/>
      <c r="G26" s="90" t="str">
        <f>IF(A26:A43="","",IF(P$4="sys/",VLOOKUP(A26:A43,#REF!,9,FALSE),VLOOKUP(A26:A43,#REF!,9,FALSE)))</f>
        <v/>
      </c>
      <c r="H26" s="107"/>
      <c r="I26" s="90" t="str">
        <f t="shared" si="4"/>
        <v/>
      </c>
      <c r="J26" s="53" t="str">
        <f>IF(A26:A43="","",IF(N$4="sys/",VLOOKUP(A26:A43,#REF!,8,FALSE),VLOOKUP(A26:A43,#REF!,8,FALSE)))</f>
        <v/>
      </c>
      <c r="K26" s="53"/>
      <c r="L26" s="101">
        <f t="shared" si="0"/>
        <v>0</v>
      </c>
      <c r="M26" s="53" t="str">
        <f t="shared" si="1"/>
        <v/>
      </c>
      <c r="N26" s="53" t="str">
        <f t="shared" si="2"/>
        <v/>
      </c>
      <c r="O26" s="74" t="str">
        <f t="shared" si="3"/>
        <v/>
      </c>
      <c r="P26" s="49"/>
      <c r="Q26" s="112"/>
      <c r="S26" s="73"/>
      <c r="T26" s="63" t="e">
        <f>(Q25-R26)/R26+S26</f>
        <v>#DIV/0!</v>
      </c>
      <c r="U26" s="50" t="e">
        <f>Q25*K25*T26</f>
        <v>#DIV/0!</v>
      </c>
      <c r="X26" s="51"/>
      <c r="Z26" s="109">
        <v>2392</v>
      </c>
      <c r="AA26" s="110" t="s">
        <v>58</v>
      </c>
      <c r="AB26" s="111">
        <v>3500</v>
      </c>
      <c r="AC26" s="112">
        <v>55.08</v>
      </c>
      <c r="AD26" s="110" t="s">
        <v>136</v>
      </c>
    </row>
    <row r="27" spans="1:30" s="50" customFormat="1" ht="30" customHeight="1" thickBot="1" x14ac:dyDescent="0.35">
      <c r="A27" s="68"/>
      <c r="B27" s="290" t="str">
        <f>IF(A27:A44="","",IF(N$4="sys/",VLOOKUP(A27:A44,#REF!,4,FALSE),VLOOKUP(A27:A44,#REF!,4,FALSE)))</f>
        <v/>
      </c>
      <c r="C27" s="291"/>
      <c r="D27" s="292"/>
      <c r="E27" s="293" t="str">
        <f>IF(A27:A44="","",IF(N$4="sys/",VLOOKUP(A27:A44,#REF!,7,FALSE),VLOOKUP(A27:A44,#REF!,7,FALSE)))</f>
        <v/>
      </c>
      <c r="F27" s="294"/>
      <c r="G27" s="90" t="str">
        <f>IF(A27:A44="","",IF(P$4="sys/",VLOOKUP(A27:A44,#REF!,9,FALSE),VLOOKUP(A27:A44,#REF!,9,FALSE)))</f>
        <v/>
      </c>
      <c r="H27" s="107"/>
      <c r="I27" s="90" t="str">
        <f t="shared" si="4"/>
        <v/>
      </c>
      <c r="J27" s="53" t="str">
        <f>IF(A27:A44="","",IF(N$4="sys/",VLOOKUP(A27:A44,#REF!,8,FALSE),VLOOKUP(A27:A44,#REF!,8,FALSE)))</f>
        <v/>
      </c>
      <c r="K27" s="53"/>
      <c r="L27" s="101">
        <f t="shared" si="0"/>
        <v>0</v>
      </c>
      <c r="M27" s="53" t="str">
        <f t="shared" si="1"/>
        <v/>
      </c>
      <c r="N27" s="53" t="str">
        <f t="shared" si="2"/>
        <v/>
      </c>
      <c r="O27" s="74" t="str">
        <f t="shared" si="3"/>
        <v/>
      </c>
      <c r="P27" s="49"/>
      <c r="S27" s="73"/>
      <c r="T27" s="63" t="e">
        <f>(Q26-R27)/R27+S27</f>
        <v>#DIV/0!</v>
      </c>
      <c r="U27" s="50" t="e">
        <f>Q26*K27*T27</f>
        <v>#DIV/0!</v>
      </c>
      <c r="X27" s="51"/>
      <c r="Z27" s="109">
        <v>2383</v>
      </c>
      <c r="AA27" s="110" t="s">
        <v>64</v>
      </c>
      <c r="AB27" s="111">
        <v>4000</v>
      </c>
      <c r="AC27" s="112">
        <v>52.53</v>
      </c>
      <c r="AD27" s="110" t="s">
        <v>137</v>
      </c>
    </row>
    <row r="28" spans="1:30" s="50" customFormat="1" ht="30" customHeight="1" thickBot="1" x14ac:dyDescent="0.35">
      <c r="A28" s="68"/>
      <c r="B28" s="290" t="str">
        <f>IF(A28:A45="","",IF(N$4="sys/",VLOOKUP(A28:A45,#REF!,4,FALSE),VLOOKUP(A28:A45,#REF!,4,FALSE)))</f>
        <v/>
      </c>
      <c r="C28" s="291"/>
      <c r="D28" s="292"/>
      <c r="E28" s="293" t="str">
        <f>IF(A28:A45="","",IF(N$4="sys/",VLOOKUP(A28:A45,#REF!,7,FALSE),VLOOKUP(A28:A45,#REF!,7,FALSE)))</f>
        <v/>
      </c>
      <c r="F28" s="294"/>
      <c r="G28" s="90" t="str">
        <f>IF(A28:A45="","",IF(P$4="sys/",VLOOKUP(A28:A45,#REF!,9,FALSE),VLOOKUP(A28:A45,#REF!,9,FALSE)))</f>
        <v/>
      </c>
      <c r="H28" s="107"/>
      <c r="I28" s="90" t="str">
        <f t="shared" si="4"/>
        <v/>
      </c>
      <c r="J28" s="53" t="str">
        <f>IF(A28:A45="","",IF(N$4="sys/",VLOOKUP(A28:A45,#REF!,8,FALSE),VLOOKUP(A28:A45,#REF!,8,FALSE)))</f>
        <v/>
      </c>
      <c r="K28" s="53"/>
      <c r="L28" s="101">
        <f t="shared" si="0"/>
        <v>0</v>
      </c>
      <c r="M28" s="53" t="str">
        <f t="shared" si="1"/>
        <v/>
      </c>
      <c r="N28" s="53" t="str">
        <f t="shared" si="2"/>
        <v/>
      </c>
      <c r="O28" s="74" t="str">
        <f t="shared" si="3"/>
        <v/>
      </c>
      <c r="P28" s="49"/>
      <c r="Q28" s="76"/>
      <c r="T28" s="63"/>
      <c r="X28" s="51"/>
    </row>
    <row r="29" spans="1:30" s="50" customFormat="1" ht="30" customHeight="1" thickBot="1" x14ac:dyDescent="0.35">
      <c r="A29" s="68"/>
      <c r="B29" s="290" t="str">
        <f>IF(A29:A46="","",IF(N$4="sys/",VLOOKUP(A29:A46,#REF!,4,FALSE),VLOOKUP(A29:A46,#REF!,4,FALSE)))</f>
        <v/>
      </c>
      <c r="C29" s="291"/>
      <c r="D29" s="292"/>
      <c r="E29" s="293" t="str">
        <f>IF(A29:A46="","",IF(N$4="sys/",VLOOKUP(A29:A46,#REF!,7,FALSE),VLOOKUP(A29:A46,#REF!,7,FALSE)))</f>
        <v/>
      </c>
      <c r="F29" s="294"/>
      <c r="G29" s="90" t="str">
        <f>IF(A29:A46="","",IF(P$4="sys/",VLOOKUP(A29:A46,#REF!,9,FALSE),VLOOKUP(A29:A46,#REF!,9,FALSE)))</f>
        <v/>
      </c>
      <c r="H29" s="107"/>
      <c r="I29" s="90" t="str">
        <f t="shared" si="4"/>
        <v/>
      </c>
      <c r="J29" s="53" t="str">
        <f>IF(A29:A46="","",IF(N$4="sys/",VLOOKUP(A29:A46,#REF!,8,FALSE),VLOOKUP(A29:A46,#REF!,8,FALSE)))</f>
        <v/>
      </c>
      <c r="K29" s="53"/>
      <c r="L29" s="101">
        <f t="shared" si="0"/>
        <v>0</v>
      </c>
      <c r="M29" s="53" t="str">
        <f t="shared" si="1"/>
        <v/>
      </c>
      <c r="N29" s="53" t="str">
        <f t="shared" si="2"/>
        <v/>
      </c>
      <c r="O29" s="74" t="str">
        <f t="shared" si="3"/>
        <v/>
      </c>
      <c r="P29" s="49"/>
      <c r="Q29" s="76"/>
      <c r="T29" s="63"/>
      <c r="X29" s="51"/>
    </row>
    <row r="30" spans="1:30" s="50" customFormat="1" ht="30" customHeight="1" thickBot="1" x14ac:dyDescent="0.35">
      <c r="A30" s="68"/>
      <c r="B30" s="290" t="str">
        <f>IF(A30:A47="","",IF(N$4="sys/",VLOOKUP(A30:A47,#REF!,4,FALSE),VLOOKUP(A30:A47,#REF!,4,FALSE)))</f>
        <v/>
      </c>
      <c r="C30" s="291"/>
      <c r="D30" s="292"/>
      <c r="E30" s="293" t="str">
        <f>IF(A30:A47="","",IF(N$4="sys/",VLOOKUP(A30:A47,#REF!,7,FALSE),VLOOKUP(A30:A47,#REF!,7,FALSE)))</f>
        <v/>
      </c>
      <c r="F30" s="294"/>
      <c r="G30" s="90" t="str">
        <f>IF(A30:A47="","",IF(P$4="sys/",VLOOKUP(A30:A47,#REF!,9,FALSE),VLOOKUP(A30:A47,#REF!,9,FALSE)))</f>
        <v/>
      </c>
      <c r="H30" s="107"/>
      <c r="I30" s="90" t="str">
        <f t="shared" si="4"/>
        <v/>
      </c>
      <c r="J30" s="53" t="str">
        <f>IF(A30:A47="","",IF(N$4="sys/",VLOOKUP(A30:A47,#REF!,8,FALSE),VLOOKUP(A30:A47,#REF!,8,FALSE)))</f>
        <v/>
      </c>
      <c r="K30" s="53"/>
      <c r="L30" s="101">
        <f t="shared" si="0"/>
        <v>0</v>
      </c>
      <c r="M30" s="53" t="str">
        <f t="shared" si="1"/>
        <v/>
      </c>
      <c r="N30" s="53" t="str">
        <f t="shared" si="2"/>
        <v/>
      </c>
      <c r="O30" s="74" t="str">
        <f t="shared" si="3"/>
        <v/>
      </c>
      <c r="P30" s="49"/>
      <c r="Q30" s="76"/>
      <c r="T30" s="63"/>
      <c r="X30" s="51"/>
    </row>
    <row r="31" spans="1:30" s="50" customFormat="1" ht="30" customHeight="1" thickBot="1" x14ac:dyDescent="0.35">
      <c r="A31" s="68"/>
      <c r="B31" s="290" t="str">
        <f>IF(A31:A48="","",IF(N$4="sys/",VLOOKUP(A31:A48,#REF!,4,FALSE),VLOOKUP(A31:A48,#REF!,4,FALSE)))</f>
        <v/>
      </c>
      <c r="C31" s="291"/>
      <c r="D31" s="292"/>
      <c r="E31" s="293" t="str">
        <f>IF(A31:A48="","",IF(N$4="sys/",VLOOKUP(A31:A48,#REF!,7,FALSE),VLOOKUP(A31:A48,#REF!,7,FALSE)))</f>
        <v/>
      </c>
      <c r="F31" s="294"/>
      <c r="G31" s="90" t="str">
        <f>IF(A31:A48="","",IF(P$4="sys/",VLOOKUP(A31:A48,#REF!,9,FALSE),VLOOKUP(A31:A48,#REF!,9,FALSE)))</f>
        <v/>
      </c>
      <c r="H31" s="107"/>
      <c r="I31" s="90" t="str">
        <f t="shared" si="4"/>
        <v/>
      </c>
      <c r="J31" s="53" t="str">
        <f>IF(A31:A48="","",IF(N$4="sys/",VLOOKUP(A31:A48,#REF!,8,FALSE),VLOOKUP(A31:A48,#REF!,8,FALSE)))</f>
        <v/>
      </c>
      <c r="K31" s="53"/>
      <c r="L31" s="101">
        <f t="shared" si="0"/>
        <v>0</v>
      </c>
      <c r="M31" s="53" t="str">
        <f t="shared" si="1"/>
        <v/>
      </c>
      <c r="N31" s="53" t="str">
        <f t="shared" si="2"/>
        <v/>
      </c>
      <c r="O31" s="74" t="str">
        <f t="shared" si="3"/>
        <v/>
      </c>
      <c r="P31" s="49"/>
      <c r="Q31" s="76"/>
      <c r="T31" s="63"/>
      <c r="X31" s="51"/>
    </row>
    <row r="32" spans="1:30" s="50" customFormat="1" ht="30" customHeight="1" thickBot="1" x14ac:dyDescent="0.35">
      <c r="A32" s="68"/>
      <c r="B32" s="290" t="str">
        <f>IF(A32:A49="","",IF(N$4="sys/",VLOOKUP(A32:A49,#REF!,4,FALSE),VLOOKUP(A32:A49,#REF!,4,FALSE)))</f>
        <v/>
      </c>
      <c r="C32" s="291"/>
      <c r="D32" s="292"/>
      <c r="E32" s="293" t="str">
        <f>IF(A32:A49="","",IF(N$4="sys/",VLOOKUP(A32:A49,#REF!,7,FALSE),VLOOKUP(A32:A49,#REF!,7,FALSE)))</f>
        <v/>
      </c>
      <c r="F32" s="294"/>
      <c r="G32" s="90" t="str">
        <f>IF(A32:A49="","",IF(P$4="sys/",VLOOKUP(A32:A49,#REF!,9,FALSE),VLOOKUP(A32:A49,#REF!,9,FALSE)))</f>
        <v/>
      </c>
      <c r="H32" s="107"/>
      <c r="I32" s="90" t="str">
        <f t="shared" si="4"/>
        <v/>
      </c>
      <c r="J32" s="53" t="str">
        <f>IF(A32:A49="","",IF(N$4="sys/",VLOOKUP(A32:A49,#REF!,8,FALSE),VLOOKUP(A32:A49,#REF!,8,FALSE)))</f>
        <v/>
      </c>
      <c r="K32" s="53"/>
      <c r="L32" s="101">
        <f t="shared" si="0"/>
        <v>0</v>
      </c>
      <c r="M32" s="53" t="str">
        <f t="shared" si="1"/>
        <v/>
      </c>
      <c r="N32" s="53" t="str">
        <f t="shared" si="2"/>
        <v/>
      </c>
      <c r="O32" s="74" t="str">
        <f t="shared" si="3"/>
        <v/>
      </c>
      <c r="P32" s="49"/>
      <c r="Q32" s="76"/>
      <c r="T32" s="63"/>
      <c r="X32" s="51"/>
    </row>
    <row r="33" spans="1:24" s="50" customFormat="1" ht="30" customHeight="1" thickBot="1" x14ac:dyDescent="0.35">
      <c r="A33" s="68"/>
      <c r="B33" s="290" t="str">
        <f>IF(A33:A50="","",IF(N$4="sys/",VLOOKUP(A33:A50,#REF!,4,FALSE),VLOOKUP(A33:A50,#REF!,4,FALSE)))</f>
        <v/>
      </c>
      <c r="C33" s="291"/>
      <c r="D33" s="292"/>
      <c r="E33" s="293" t="str">
        <f>IF(A33:A50="","",IF(N$4="sys/",VLOOKUP(A33:A50,#REF!,7,FALSE),VLOOKUP(A33:A50,#REF!,7,FALSE)))</f>
        <v/>
      </c>
      <c r="F33" s="294"/>
      <c r="G33" s="90" t="str">
        <f>IF(A33:A50="","",IF(P$4="sys/",VLOOKUP(A33:A50,#REF!,9,FALSE),VLOOKUP(A33:A50,#REF!,9,FALSE)))</f>
        <v/>
      </c>
      <c r="H33" s="107"/>
      <c r="I33" s="90" t="str">
        <f t="shared" si="4"/>
        <v/>
      </c>
      <c r="J33" s="53" t="str">
        <f>IF(A33:A50="","",IF(N$4="sys/",VLOOKUP(A33:A50,#REF!,8,FALSE),VLOOKUP(A33:A50,#REF!,8,FALSE)))</f>
        <v/>
      </c>
      <c r="K33" s="53"/>
      <c r="L33" s="101">
        <f t="shared" si="0"/>
        <v>0</v>
      </c>
      <c r="M33" s="53" t="str">
        <f t="shared" si="1"/>
        <v/>
      </c>
      <c r="N33" s="53" t="str">
        <f t="shared" si="2"/>
        <v/>
      </c>
      <c r="O33" s="74" t="str">
        <f t="shared" si="3"/>
        <v/>
      </c>
      <c r="P33" s="49"/>
      <c r="Q33" s="76"/>
      <c r="T33" s="63"/>
      <c r="X33" s="51"/>
    </row>
    <row r="34" spans="1:24" s="50" customFormat="1" ht="30" customHeight="1" thickBot="1" x14ac:dyDescent="0.35">
      <c r="A34" s="68"/>
      <c r="B34" s="290" t="str">
        <f>IF(A34:A51="","",IF(N$4="sys/",VLOOKUP(A34:A51,#REF!,4,FALSE),VLOOKUP(A34:A51,#REF!,4,FALSE)))</f>
        <v/>
      </c>
      <c r="C34" s="291"/>
      <c r="D34" s="292"/>
      <c r="E34" s="293" t="str">
        <f>IF(A34:A51="","",IF(N$4="sys/",VLOOKUP(A34:A51,#REF!,7,FALSE),VLOOKUP(A34:A51,#REF!,7,FALSE)))</f>
        <v/>
      </c>
      <c r="F34" s="294"/>
      <c r="G34" s="90" t="str">
        <f>IF(A34:A51="","",IF(P$4="sys/",VLOOKUP(A34:A51,#REF!,9,FALSE),VLOOKUP(A34:A51,#REF!,9,FALSE)))</f>
        <v/>
      </c>
      <c r="H34" s="107"/>
      <c r="I34" s="90" t="str">
        <f t="shared" si="4"/>
        <v/>
      </c>
      <c r="J34" s="53" t="str">
        <f>IF(A34:A51="","",IF(N$4="sys/",VLOOKUP(A34:A51,#REF!,8,FALSE),VLOOKUP(A34:A51,#REF!,8,FALSE)))</f>
        <v/>
      </c>
      <c r="K34" s="53"/>
      <c r="L34" s="101">
        <f t="shared" si="0"/>
        <v>0</v>
      </c>
      <c r="M34" s="53" t="str">
        <f t="shared" si="1"/>
        <v/>
      </c>
      <c r="N34" s="53" t="str">
        <f t="shared" si="2"/>
        <v/>
      </c>
      <c r="O34" s="74" t="str">
        <f t="shared" si="3"/>
        <v/>
      </c>
      <c r="P34" s="49"/>
      <c r="Q34" s="76"/>
      <c r="T34" s="63"/>
      <c r="X34" s="51"/>
    </row>
    <row r="35" spans="1:24" ht="17.25" thickBot="1" x14ac:dyDescent="0.35">
      <c r="A35" s="97" t="s">
        <v>5</v>
      </c>
      <c r="B35" s="98"/>
      <c r="C35" s="98"/>
      <c r="D35" s="98"/>
      <c r="E35" s="98"/>
      <c r="F35" s="98"/>
      <c r="G35" s="98"/>
      <c r="H35" s="98"/>
      <c r="I35" s="98">
        <f>AVERAGE(I17:I34)</f>
        <v>1</v>
      </c>
      <c r="J35" s="98"/>
      <c r="K35" s="99">
        <f>SUM(K17:K34)</f>
        <v>24000</v>
      </c>
      <c r="L35" s="99"/>
      <c r="M35" s="99">
        <f>SUM(M17:M34)</f>
        <v>25440</v>
      </c>
      <c r="N35" s="99"/>
      <c r="O35" s="100">
        <f>SUM(O17:O34)</f>
        <v>832320</v>
      </c>
      <c r="Q35" t="s">
        <v>125</v>
      </c>
      <c r="R35" s="76"/>
      <c r="S35" s="76"/>
      <c r="T35" s="76"/>
      <c r="U35" t="e">
        <f>SUM(U17:U28)</f>
        <v>#DIV/0!</v>
      </c>
      <c r="X35" s="47" t="e">
        <f>U35/O44</f>
        <v>#DIV/0!</v>
      </c>
    </row>
    <row r="36" spans="1:24" ht="21" x14ac:dyDescent="0.3">
      <c r="A36" s="286" t="s">
        <v>37</v>
      </c>
      <c r="B36" s="287"/>
      <c r="C36" s="271" t="s">
        <v>40</v>
      </c>
      <c r="D36" s="271"/>
      <c r="E36" s="6"/>
      <c r="F36" s="6"/>
      <c r="G36" s="6"/>
      <c r="H36" s="6"/>
      <c r="I36" s="6"/>
      <c r="J36" s="6"/>
      <c r="K36" s="6"/>
      <c r="L36" s="6"/>
      <c r="M36" s="295" t="s">
        <v>21</v>
      </c>
      <c r="N36" s="296"/>
      <c r="O36" s="57">
        <f>O35</f>
        <v>832320</v>
      </c>
      <c r="T36" s="46"/>
      <c r="X36" s="47"/>
    </row>
    <row r="37" spans="1:24" ht="18.75" x14ac:dyDescent="0.3">
      <c r="A37" s="286" t="s">
        <v>38</v>
      </c>
      <c r="B37" s="287"/>
      <c r="C37" s="271" t="s">
        <v>139</v>
      </c>
      <c r="D37" s="271"/>
      <c r="E37" s="6"/>
      <c r="F37" s="6"/>
      <c r="G37" s="6"/>
      <c r="H37" s="6"/>
      <c r="I37" s="6"/>
      <c r="J37" s="6"/>
      <c r="K37" s="6"/>
      <c r="L37" s="6"/>
      <c r="M37" s="288" t="s">
        <v>22</v>
      </c>
      <c r="N37" s="289"/>
      <c r="O37" s="56">
        <f>(T14*Y13+U14*Y14)*V14</f>
        <v>19800</v>
      </c>
      <c r="T37" s="47"/>
      <c r="X37" s="47"/>
    </row>
    <row r="38" spans="1:24" ht="16.5" customHeight="1" x14ac:dyDescent="0.3">
      <c r="A38" s="12" t="s">
        <v>46</v>
      </c>
      <c r="B38" s="6"/>
      <c r="C38" s="44" t="s">
        <v>28</v>
      </c>
      <c r="D38" s="6"/>
      <c r="E38" s="6"/>
      <c r="F38" s="6"/>
      <c r="G38" s="6"/>
      <c r="H38" s="6"/>
      <c r="I38" s="6"/>
      <c r="J38" s="6"/>
      <c r="K38" s="6"/>
      <c r="L38" s="6"/>
      <c r="M38" s="276" t="s">
        <v>26</v>
      </c>
      <c r="N38" s="277"/>
      <c r="O38" s="55">
        <v>0</v>
      </c>
      <c r="U38" s="69" t="s">
        <v>82</v>
      </c>
    </row>
    <row r="39" spans="1:24" ht="16.5" customHeight="1" x14ac:dyDescent="0.3">
      <c r="A39" s="15" t="str">
        <f>IF(B1=X1,Z3,AA3)</f>
        <v>PAYEE:SINOCHEM TIANJIN CO., LTD</v>
      </c>
      <c r="B39" s="6"/>
      <c r="C39" s="6"/>
      <c r="D39" s="6"/>
      <c r="E39" s="6"/>
      <c r="F39" s="6"/>
      <c r="G39" s="6"/>
      <c r="H39" s="6"/>
      <c r="I39" s="6"/>
      <c r="J39" s="6"/>
      <c r="K39" s="6"/>
      <c r="L39" s="6"/>
      <c r="M39" s="276" t="s">
        <v>27</v>
      </c>
      <c r="N39" s="277"/>
      <c r="O39" s="55">
        <v>0</v>
      </c>
    </row>
    <row r="40" spans="1:24" ht="16.5" customHeight="1" x14ac:dyDescent="0.3">
      <c r="A40" s="16" t="s">
        <v>13</v>
      </c>
      <c r="B40" s="6"/>
      <c r="C40" s="6"/>
      <c r="D40" s="6"/>
      <c r="E40" s="6"/>
      <c r="F40" s="6"/>
      <c r="G40" s="6"/>
      <c r="H40" s="6"/>
      <c r="I40" s="6"/>
      <c r="J40" s="6"/>
      <c r="K40" s="6"/>
      <c r="L40" s="6"/>
      <c r="M40" s="6"/>
      <c r="N40" s="6"/>
      <c r="O40" s="55">
        <v>0</v>
      </c>
    </row>
    <row r="41" spans="1:24" ht="16.5" customHeight="1" x14ac:dyDescent="0.3">
      <c r="A41" s="16" t="s">
        <v>14</v>
      </c>
      <c r="B41" s="6"/>
      <c r="C41" s="6"/>
      <c r="D41" s="6"/>
      <c r="E41" s="6"/>
      <c r="F41" s="6"/>
      <c r="G41" s="6"/>
      <c r="H41" s="6"/>
      <c r="I41" s="6"/>
      <c r="J41" s="6"/>
      <c r="K41" s="6"/>
      <c r="L41" s="6"/>
      <c r="M41" s="6"/>
      <c r="N41" s="6"/>
      <c r="O41" s="55">
        <v>0</v>
      </c>
    </row>
    <row r="42" spans="1:24" ht="16.5" customHeight="1" x14ac:dyDescent="0.3">
      <c r="A42" s="16" t="s">
        <v>15</v>
      </c>
      <c r="B42" s="6"/>
      <c r="C42" s="6"/>
      <c r="D42" s="6"/>
      <c r="E42" s="6"/>
      <c r="F42" s="6"/>
      <c r="G42" s="6"/>
      <c r="H42" s="6"/>
      <c r="I42" s="6"/>
      <c r="J42" s="6"/>
      <c r="K42" s="6"/>
      <c r="L42" s="6"/>
      <c r="M42" s="6"/>
      <c r="N42" s="6"/>
      <c r="O42" s="55">
        <v>0</v>
      </c>
    </row>
    <row r="43" spans="1:24" ht="16.5" customHeight="1" x14ac:dyDescent="0.3">
      <c r="A43" s="16" t="s">
        <v>16</v>
      </c>
      <c r="B43" s="6"/>
      <c r="C43" s="6"/>
      <c r="D43" s="6"/>
      <c r="E43" s="6"/>
      <c r="F43" s="6"/>
      <c r="G43" s="6"/>
      <c r="H43" s="6"/>
      <c r="I43" s="6"/>
      <c r="J43" s="6"/>
      <c r="K43" s="6"/>
      <c r="L43" s="6"/>
      <c r="M43" s="6"/>
      <c r="N43" s="6"/>
      <c r="O43" s="55">
        <v>0</v>
      </c>
      <c r="Q43" s="72">
        <v>426655.25</v>
      </c>
    </row>
    <row r="44" spans="1:24" ht="21.75" thickBot="1" x14ac:dyDescent="0.4">
      <c r="A44" s="16" t="str">
        <f>IF(B1=X1,Z2,AA2)</f>
        <v>ACCOUNT NUMBER:10002000096220000016</v>
      </c>
      <c r="B44" s="1"/>
      <c r="C44" s="1"/>
      <c r="D44" s="1"/>
      <c r="E44" s="1"/>
      <c r="F44" s="1"/>
      <c r="G44" s="1"/>
      <c r="H44" s="1"/>
      <c r="I44" s="1"/>
      <c r="J44" s="1"/>
      <c r="K44" s="1"/>
      <c r="L44" s="1"/>
      <c r="M44" s="278" t="s">
        <v>25</v>
      </c>
      <c r="N44" s="279"/>
      <c r="O44" s="54">
        <f>SUM(O36+O37)</f>
        <v>852120</v>
      </c>
    </row>
    <row r="45" spans="1:24" ht="18.75" thickBot="1" x14ac:dyDescent="0.35">
      <c r="A45" s="280" t="s">
        <v>83</v>
      </c>
      <c r="B45" s="281"/>
      <c r="C45" s="282" t="e">
        <f ca="1">SpellNumber(O44)</f>
        <v>#NAME?</v>
      </c>
      <c r="D45" s="282"/>
      <c r="E45" s="282"/>
      <c r="F45" s="282"/>
      <c r="G45" s="282"/>
      <c r="H45" s="282"/>
      <c r="I45" s="282"/>
      <c r="J45" s="282"/>
      <c r="K45" s="283"/>
      <c r="L45" s="103"/>
      <c r="M45" s="1"/>
      <c r="N45" s="1"/>
      <c r="O45" s="45" t="s">
        <v>51</v>
      </c>
    </row>
    <row r="46" spans="1:24" x14ac:dyDescent="0.3">
      <c r="A46" s="284"/>
      <c r="B46" s="285"/>
      <c r="C46" s="285"/>
      <c r="D46" s="285"/>
      <c r="E46" s="285"/>
      <c r="F46" s="285"/>
      <c r="G46" s="285"/>
      <c r="H46" s="285"/>
      <c r="I46" s="285"/>
      <c r="J46" s="285"/>
      <c r="K46" s="285"/>
      <c r="L46" s="102"/>
      <c r="M46" s="1"/>
      <c r="N46" s="1"/>
      <c r="O46" s="17"/>
    </row>
    <row r="47" spans="1:24" ht="16.5" x14ac:dyDescent="0.3">
      <c r="A47" s="18" t="s">
        <v>8</v>
      </c>
      <c r="B47" s="5"/>
      <c r="C47" s="5"/>
      <c r="D47" s="5"/>
      <c r="E47" s="5"/>
      <c r="F47" s="5"/>
      <c r="G47" s="5"/>
      <c r="H47" s="5"/>
      <c r="I47" s="5"/>
      <c r="J47" s="5"/>
      <c r="K47" s="5"/>
      <c r="L47" s="5"/>
      <c r="M47" s="5"/>
      <c r="N47" s="5"/>
      <c r="O47" s="19"/>
    </row>
    <row r="48" spans="1:24" x14ac:dyDescent="0.3">
      <c r="A48" s="28" t="s">
        <v>4</v>
      </c>
      <c r="B48" s="27"/>
      <c r="C48" s="27" t="s">
        <v>28</v>
      </c>
      <c r="D48" s="27"/>
      <c r="E48" s="27"/>
      <c r="F48" s="27"/>
      <c r="G48" s="1"/>
      <c r="H48" s="1"/>
      <c r="I48" s="1"/>
      <c r="J48" s="1"/>
      <c r="K48" s="1"/>
      <c r="L48" s="1"/>
      <c r="M48" s="1"/>
      <c r="N48" s="1"/>
      <c r="O48" s="17"/>
    </row>
    <row r="49" spans="1:21" x14ac:dyDescent="0.3">
      <c r="A49" s="28" t="s">
        <v>2</v>
      </c>
      <c r="B49" s="27"/>
      <c r="C49" s="27" t="s">
        <v>28</v>
      </c>
      <c r="D49" s="27"/>
      <c r="E49" s="27"/>
      <c r="F49" s="27"/>
      <c r="G49" s="1"/>
      <c r="H49" s="1"/>
      <c r="I49" s="1"/>
      <c r="J49" s="1"/>
      <c r="K49" s="1"/>
      <c r="L49" s="1"/>
      <c r="M49" s="1"/>
      <c r="N49" s="1"/>
      <c r="O49" s="17"/>
      <c r="U49" t="e">
        <f ca="1">SpellNumber(O44)</f>
        <v>#NAME?</v>
      </c>
    </row>
    <row r="50" spans="1:21" x14ac:dyDescent="0.3">
      <c r="A50" s="28" t="s">
        <v>3</v>
      </c>
      <c r="B50" s="27"/>
      <c r="C50" s="27" t="s">
        <v>29</v>
      </c>
      <c r="D50" s="27"/>
      <c r="E50" s="27"/>
      <c r="F50" s="27"/>
      <c r="G50" s="1"/>
      <c r="H50" s="1"/>
      <c r="I50" s="1"/>
      <c r="J50" s="1"/>
      <c r="K50" s="1"/>
      <c r="L50" s="1"/>
      <c r="M50" s="1"/>
      <c r="N50" s="1"/>
      <c r="O50" s="17"/>
    </row>
    <row r="51" spans="1:21" x14ac:dyDescent="0.3">
      <c r="A51" s="28"/>
      <c r="B51" s="27"/>
      <c r="C51" s="27"/>
      <c r="D51" s="27"/>
      <c r="E51" s="27"/>
      <c r="F51" s="27"/>
      <c r="G51" s="1"/>
      <c r="H51" s="1"/>
      <c r="I51" s="1"/>
      <c r="J51" s="1"/>
      <c r="K51" s="1"/>
      <c r="L51" s="1"/>
      <c r="M51" s="1"/>
      <c r="N51" s="1"/>
      <c r="O51" s="17"/>
      <c r="T51" t="e">
        <f ca="1">SpellNumber(O44)</f>
        <v>#NAME?</v>
      </c>
    </row>
    <row r="52" spans="1:21" x14ac:dyDescent="0.3">
      <c r="A52" s="29" t="s">
        <v>6</v>
      </c>
      <c r="B52" s="26"/>
      <c r="C52" s="271" t="s">
        <v>24</v>
      </c>
      <c r="D52" s="271"/>
      <c r="E52" s="271"/>
      <c r="F52" s="271"/>
      <c r="G52" s="2"/>
      <c r="H52" s="2"/>
      <c r="I52" s="2"/>
      <c r="J52" s="2"/>
      <c r="K52" s="2"/>
      <c r="L52" s="2"/>
      <c r="M52" s="2"/>
      <c r="N52" s="2"/>
      <c r="O52" s="17"/>
      <c r="T52" t="e">
        <f ca="1">SpellNumber(O44)</f>
        <v>#NAME?</v>
      </c>
    </row>
    <row r="53" spans="1:21" x14ac:dyDescent="0.3">
      <c r="A53" s="20"/>
      <c r="B53" s="2"/>
      <c r="C53" s="2"/>
      <c r="D53" s="2"/>
      <c r="E53" s="2"/>
      <c r="F53" s="2"/>
      <c r="G53" s="2"/>
      <c r="H53" s="2"/>
      <c r="I53" s="2"/>
      <c r="J53" s="2"/>
      <c r="K53" s="2"/>
      <c r="L53" s="2"/>
      <c r="M53" s="2"/>
      <c r="N53" s="2"/>
      <c r="O53" s="17"/>
      <c r="T53" t="e">
        <f ca="1">SpellNumber(O44)</f>
        <v>#NAME?</v>
      </c>
    </row>
    <row r="54" spans="1:21" ht="15" customHeight="1" x14ac:dyDescent="0.3">
      <c r="A54" s="272" t="s">
        <v>30</v>
      </c>
      <c r="B54" s="273"/>
      <c r="C54" s="273"/>
      <c r="D54" s="273"/>
      <c r="E54" s="273"/>
      <c r="F54" s="273"/>
      <c r="G54" s="273"/>
      <c r="H54" s="78"/>
      <c r="I54" s="78"/>
      <c r="J54" s="2"/>
      <c r="K54" s="2"/>
      <c r="L54" s="2"/>
      <c r="M54" s="2"/>
      <c r="N54" s="2"/>
      <c r="O54" s="17"/>
    </row>
    <row r="55" spans="1:21" x14ac:dyDescent="0.3">
      <c r="A55" s="272"/>
      <c r="B55" s="273"/>
      <c r="C55" s="273"/>
      <c r="D55" s="273"/>
      <c r="E55" s="273"/>
      <c r="F55" s="273"/>
      <c r="G55" s="273"/>
      <c r="H55" s="78"/>
      <c r="I55" s="78"/>
      <c r="J55" s="2"/>
      <c r="K55" s="2"/>
      <c r="L55" s="2"/>
      <c r="M55" s="2"/>
      <c r="N55" s="2"/>
      <c r="O55" s="17"/>
    </row>
    <row r="56" spans="1:21" x14ac:dyDescent="0.3">
      <c r="A56" s="272"/>
      <c r="B56" s="273"/>
      <c r="C56" s="273"/>
      <c r="D56" s="273"/>
      <c r="E56" s="273"/>
      <c r="F56" s="273"/>
      <c r="G56" s="273"/>
      <c r="H56" s="78"/>
      <c r="I56" s="78"/>
      <c r="J56" s="2"/>
      <c r="K56" s="2"/>
      <c r="L56" s="2"/>
      <c r="M56" s="2"/>
      <c r="N56" s="2"/>
      <c r="O56" s="17"/>
    </row>
    <row r="57" spans="1:21" x14ac:dyDescent="0.3">
      <c r="A57" s="21" t="s">
        <v>92</v>
      </c>
      <c r="B57" s="4"/>
      <c r="C57" s="2"/>
      <c r="D57" s="2"/>
      <c r="E57" s="2"/>
      <c r="F57" s="2"/>
      <c r="G57" s="2"/>
      <c r="H57" s="2"/>
      <c r="I57" s="2"/>
      <c r="J57" s="2"/>
      <c r="K57" s="2"/>
      <c r="L57" s="2"/>
      <c r="M57" s="2"/>
      <c r="N57" s="2"/>
      <c r="O57" s="17"/>
    </row>
    <row r="58" spans="1:21" ht="15.75" thickBot="1" x14ac:dyDescent="0.35">
      <c r="A58" s="274" t="str">
        <f>IF(B1=X1,Z1,AA1)</f>
        <v>SINOCHEM TIANJIN CO., LTD</v>
      </c>
      <c r="B58" s="275">
        <f>IF(C57=Y57,AA57,AB57)</f>
        <v>0</v>
      </c>
      <c r="C58" s="275">
        <f>IF(D57=Z57,AB57,AC57)</f>
        <v>0</v>
      </c>
      <c r="D58" s="275">
        <f>IF(E57=AA57,AC57,AD57)</f>
        <v>0</v>
      </c>
      <c r="E58" s="24"/>
      <c r="F58" s="22"/>
      <c r="G58" s="22"/>
      <c r="H58" s="22"/>
      <c r="I58" s="22"/>
      <c r="J58" s="22"/>
      <c r="K58" s="22"/>
      <c r="L58" s="22"/>
      <c r="M58" s="22"/>
      <c r="N58" s="22"/>
      <c r="O58" s="23"/>
    </row>
  </sheetData>
  <mergeCells count="68">
    <mergeCell ref="Q13:R14"/>
    <mergeCell ref="M14:N14"/>
    <mergeCell ref="B1:F1"/>
    <mergeCell ref="N2:O2"/>
    <mergeCell ref="N3:O3"/>
    <mergeCell ref="K5:M5"/>
    <mergeCell ref="N5:O5"/>
    <mergeCell ref="A10:D10"/>
    <mergeCell ref="M10:N10"/>
    <mergeCell ref="B18:D18"/>
    <mergeCell ref="E18:F18"/>
    <mergeCell ref="A11:B11"/>
    <mergeCell ref="C11:D11"/>
    <mergeCell ref="M11:N11"/>
    <mergeCell ref="M12:N12"/>
    <mergeCell ref="M13:N13"/>
    <mergeCell ref="M15:N15"/>
    <mergeCell ref="B16:D16"/>
    <mergeCell ref="E16:F16"/>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A37:B37"/>
    <mergeCell ref="C37:D37"/>
    <mergeCell ref="M37:N37"/>
    <mergeCell ref="B31:D31"/>
    <mergeCell ref="E31:F31"/>
    <mergeCell ref="B32:D32"/>
    <mergeCell ref="E32:F32"/>
    <mergeCell ref="B33:D33"/>
    <mergeCell ref="E33:F33"/>
    <mergeCell ref="B34:D34"/>
    <mergeCell ref="E34:F34"/>
    <mergeCell ref="A36:B36"/>
    <mergeCell ref="C36:D36"/>
    <mergeCell ref="M36:N36"/>
    <mergeCell ref="C52:F52"/>
    <mergeCell ref="A54:G56"/>
    <mergeCell ref="A58:D58"/>
    <mergeCell ref="M38:N38"/>
    <mergeCell ref="M39:N39"/>
    <mergeCell ref="M44:N44"/>
    <mergeCell ref="A45:B45"/>
    <mergeCell ref="C45:K45"/>
    <mergeCell ref="A46:K46"/>
  </mergeCells>
  <dataValidations count="1">
    <dataValidation type="list" allowBlank="1" showInputMessage="1" showErrorMessage="1" sqref="B1:F1" xr:uid="{00000000-0002-0000-0800-000000000000}">
      <formula1>$X$1:$Y$1</formula1>
    </dataValidation>
  </dataValidations>
  <printOptions horizontalCentered="1"/>
  <pageMargins left="0.511811023622047" right="0.511811023622047" top="0.511811023622047" bottom="0.511811023622047" header="0.511811023622047" footer="0.23622047244094499"/>
  <pageSetup scale="6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28</vt:i4>
      </vt:variant>
    </vt:vector>
  </HeadingPairs>
  <TitlesOfParts>
    <vt:vector size="56" baseType="lpstr">
      <vt:lpstr>10643-new (2)</vt:lpstr>
      <vt:lpstr>10642-new</vt:lpstr>
      <vt:lpstr>10641-new (4)</vt:lpstr>
      <vt:lpstr>10639-new (3)</vt:lpstr>
      <vt:lpstr>10638-new (2)</vt:lpstr>
      <vt:lpstr>10640-new</vt:lpstr>
      <vt:lpstr>درخواست پروفرم</vt:lpstr>
      <vt:lpstr>10665</vt:lpstr>
      <vt:lpstr>10664</vt:lpstr>
      <vt:lpstr>10663</vt:lpstr>
      <vt:lpstr>10662</vt:lpstr>
      <vt:lpstr>10657</vt:lpstr>
      <vt:lpstr>10653</vt:lpstr>
      <vt:lpstr>10652</vt:lpstr>
      <vt:lpstr>10651</vt:lpstr>
      <vt:lpstr>10650</vt:lpstr>
      <vt:lpstr>10649</vt:lpstr>
      <vt:lpstr>10648</vt:lpstr>
      <vt:lpstr>10647</vt:lpstr>
      <vt:lpstr>10646</vt:lpstr>
      <vt:lpstr>10645</vt:lpstr>
      <vt:lpstr>10644</vt:lpstr>
      <vt:lpstr>10643</vt:lpstr>
      <vt:lpstr>10642</vt:lpstr>
      <vt:lpstr>10641</vt:lpstr>
      <vt:lpstr>10640</vt:lpstr>
      <vt:lpstr>10639</vt:lpstr>
      <vt:lpstr>10638</vt:lpstr>
      <vt:lpstr>'10638'!Print_Area</vt:lpstr>
      <vt:lpstr>'10638-new (2)'!Print_Area</vt:lpstr>
      <vt:lpstr>'10639'!Print_Area</vt:lpstr>
      <vt:lpstr>'10639-new (3)'!Print_Area</vt:lpstr>
      <vt:lpstr>'10640'!Print_Area</vt:lpstr>
      <vt:lpstr>'10640-new'!Print_Area</vt:lpstr>
      <vt:lpstr>'10641'!Print_Area</vt:lpstr>
      <vt:lpstr>'10641-new (4)'!Print_Area</vt:lpstr>
      <vt:lpstr>'10642'!Print_Area</vt:lpstr>
      <vt:lpstr>'10642-new'!Print_Area</vt:lpstr>
      <vt:lpstr>'10643'!Print_Area</vt:lpstr>
      <vt:lpstr>'10643-new (2)'!Print_Area</vt:lpstr>
      <vt:lpstr>'10644'!Print_Area</vt:lpstr>
      <vt:lpstr>'10645'!Print_Area</vt:lpstr>
      <vt:lpstr>'10646'!Print_Area</vt:lpstr>
      <vt:lpstr>'10647'!Print_Area</vt:lpstr>
      <vt:lpstr>'10648'!Print_Area</vt:lpstr>
      <vt:lpstr>'10649'!Print_Area</vt:lpstr>
      <vt:lpstr>'10650'!Print_Area</vt:lpstr>
      <vt:lpstr>'10651'!Print_Area</vt:lpstr>
      <vt:lpstr>'10652'!Print_Area</vt:lpstr>
      <vt:lpstr>'10653'!Print_Area</vt:lpstr>
      <vt:lpstr>'10657'!Print_Area</vt:lpstr>
      <vt:lpstr>'10662'!Print_Area</vt:lpstr>
      <vt:lpstr>'10663'!Print_Area</vt:lpstr>
      <vt:lpstr>'10664'!Print_Area</vt:lpstr>
      <vt:lpstr>'10665'!Print_Area</vt:lpstr>
      <vt:lpstr>'درخواست پروفرم'!Print_Area</vt:lpstr>
    </vt:vector>
  </TitlesOfParts>
  <Company>Vertex42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 Forma Invoice Template</dc:title>
  <dc:creator>www.vertex42.com</dc:creator>
  <dc:description>(c) 2011 Vertex42 LLC. All Rights Reserved.</dc:description>
  <cp:lastModifiedBy>AGHAJANI</cp:lastModifiedBy>
  <cp:lastPrinted>2018-11-22T09:08:46Z</cp:lastPrinted>
  <dcterms:created xsi:type="dcterms:W3CDTF">2004-08-16T18:44:14Z</dcterms:created>
  <dcterms:modified xsi:type="dcterms:W3CDTF">2022-11-19T05:45:22Z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 Vertex42 LLC</vt:lpwstr>
  </property>
  <property fmtid="{D5CDD505-2E9C-101B-9397-08002B2CF9AE}" pid="3" name="Version">
    <vt:lpwstr>1.0.2</vt:lpwstr>
  </property>
</Properties>
</file>